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ciones" sheetId="1" state="visible" r:id="rId3"/>
    <sheet name="Operaciones" sheetId="2" state="visible" r:id="rId4"/>
    <sheet name="Resume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<sst xmlns="http://schemas.openxmlformats.org/spreadsheetml/2006/main" count="98" uniqueCount="83">
  <si>
    <t xml:space="preserve">PLANTILLA DE BACKTESTING</t>
  </si>
  <si>
    <t xml:space="preserve">Registro de operaciones y cálculo automático de métricas</t>
  </si>
  <si>
    <t xml:space="preserve">formacionforex.com · Francisco Ribas</t>
  </si>
  <si>
    <t xml:space="preserve">CÓMO USAR ESTA PLANTILLA</t>
  </si>
  <si>
    <t xml:space="preserve">1.  Ve a la hoja «Operaciones» y rellena UNA FILA por cada operación de tu backtest.</t>
  </si>
  <si>
    <t xml:space="preserve">2.  Rellena solo las celdas con fondo AMARILLO. El resto se calcula solo.</t>
  </si>
  <si>
    <t xml:space="preserve">3.  La hoja «Resumen» te dará las métricas automáticamente a medida que registres.</t>
  </si>
  <si>
    <t xml:space="preserve">4.  No borres las fórmulas ni cambies el orden de las columnas.</t>
  </si>
  <si>
    <t xml:space="preserve">QUÉ SIGNIFICA CADA COLUMNA</t>
  </si>
  <si>
    <t xml:space="preserve">Nº</t>
  </si>
  <si>
    <t xml:space="preserve">Se numera solo. No lo toques.</t>
  </si>
  <si>
    <t xml:space="preserve">Fecha</t>
  </si>
  <si>
    <t xml:space="preserve">Fecha de la operación en el histórico (dd/mm/aaaa).</t>
  </si>
  <si>
    <t xml:space="preserve">Par / Activo</t>
  </si>
  <si>
    <t xml:space="preserve">Ej.: EURUSD, XAGUSD, GBPJPY.</t>
  </si>
  <si>
    <t xml:space="preserve">Marco temporal</t>
  </si>
  <si>
    <t xml:space="preserve">Ej.: H1, H4, D1.</t>
  </si>
  <si>
    <t xml:space="preserve">Dirección</t>
  </si>
  <si>
    <t xml:space="preserve">Compra o Venta.</t>
  </si>
  <si>
    <t xml:space="preserve">Precio entrada</t>
  </si>
  <si>
    <t xml:space="preserve">Precio al que habrías entrado.</t>
  </si>
  <si>
    <t xml:space="preserve">Stop loss</t>
  </si>
  <si>
    <t xml:space="preserve">Precio de tu stop. Nunca lo dejes vacío.</t>
  </si>
  <si>
    <t xml:space="preserve">Take profit</t>
  </si>
  <si>
    <t xml:space="preserve">Precio objetivo previsto.</t>
  </si>
  <si>
    <t xml:space="preserve">Precio salida</t>
  </si>
  <si>
    <t xml:space="preserve">Precio real al que cerraste en el test.</t>
  </si>
  <si>
    <t xml:space="preserve">Riesgo (pips)</t>
  </si>
  <si>
    <t xml:space="preserve">Se calcula solo: distancia de la entrada al stop.</t>
  </si>
  <si>
    <t xml:space="preserve">Resultado (pips)</t>
  </si>
  <si>
    <t xml:space="preserve">Se calcula solo, según la dirección.</t>
  </si>
  <si>
    <t xml:space="preserve">Resultado (€)</t>
  </si>
  <si>
    <t xml:space="preserve">Introduce el resultado en euros, ya con spread y comisión descontados.</t>
  </si>
  <si>
    <t xml:space="preserve">Ratio R</t>
  </si>
  <si>
    <t xml:space="preserve">Se calcula solo: cuántas veces tu riesgo has ganado o perdido.</t>
  </si>
  <si>
    <t xml:space="preserve">Ganada/Perdida</t>
  </si>
  <si>
    <t xml:space="preserve">Se calcula solo a partir del resultado en euros.</t>
  </si>
  <si>
    <t xml:space="preserve">Calidad señal</t>
  </si>
  <si>
    <t xml:space="preserve">Tu nota honesta: Excelente, Buena o Dudosa.</t>
  </si>
  <si>
    <t xml:space="preserve">Notas</t>
  </si>
  <si>
    <t xml:space="preserve">Qué viste, qué sentiste, qué harías distinto.</t>
  </si>
  <si>
    <t xml:space="preserve">LAS TRES REGLAS DE ORO</t>
  </si>
  <si>
    <t xml:space="preserve">•  Descuenta SIEMPRE el spread, la comisión y algo de slippage en la columna «Resultado (€)». Una estrategia que solo gana sin costes, en realidad pierde.</t>
  </si>
  <si>
    <t xml:space="preserve">•  No mires la vela siguiente antes de decidir. Espiar el futuro invalida el backtest entero.</t>
  </si>
  <si>
    <t xml:space="preserve">•  Registra un mínimo de 100 operaciones. Con 20 no tienes una estadística: tienes una anécdota.</t>
  </si>
  <si>
    <t xml:space="preserve">Aviso: los resultados de un backtesting se basan en datos históricos y no garantizan rendimientos futuros.</t>
  </si>
  <si>
    <t xml:space="preserve">REGISTRO DE OPERACIONES DEL BACKTEST</t>
  </si>
  <si>
    <t xml:space="preserve">Rellena solo las celdas amarillas. Las grises se calculan automáticamente.</t>
  </si>
  <si>
    <t xml:space="preserve">Marco</t>
  </si>
  <si>
    <t xml:space="preserve">EURUSD</t>
  </si>
  <si>
    <t xml:space="preserve">H4</t>
  </si>
  <si>
    <t xml:space="preserve">Compra</t>
  </si>
  <si>
    <t xml:space="preserve">Buena</t>
  </si>
  <si>
    <t xml:space="preserve">Rebote en soporte diario con vela envolvente. Volumen alto.</t>
  </si>
  <si>
    <t xml:space="preserve">↑ La fila 5 es un EJEMPLO. Bórrala y empieza a registrar tus operaciones reales.</t>
  </si>
  <si>
    <t xml:space="preserve">MÉTRICAS DEL BACKTEST</t>
  </si>
  <si>
    <t xml:space="preserve">Se calculan solas a partir de la hoja «Operaciones»</t>
  </si>
  <si>
    <t xml:space="preserve">Nº total de operaciones</t>
  </si>
  <si>
    <t xml:space="preserve">Con menos de 100 no tienes una estadística fiable.</t>
  </si>
  <si>
    <t xml:space="preserve">Operaciones ganadas</t>
  </si>
  <si>
    <t xml:space="preserve">Operaciones perdidas</t>
  </si>
  <si>
    <t xml:space="preserve">% de aciertos</t>
  </si>
  <si>
    <t xml:space="preserve">Ojo: NO es la métrica más importante. Puedes acertar el 40% y ganar mucho dinero.</t>
  </si>
  <si>
    <t xml:space="preserve">Beneficio bruto (€)</t>
  </si>
  <si>
    <t xml:space="preserve">Pérdida bruta (€)</t>
  </si>
  <si>
    <t xml:space="preserve">Resultado neto (€)</t>
  </si>
  <si>
    <t xml:space="preserve">Con el spread y las comisiones ya descontados.</t>
  </si>
  <si>
    <t xml:space="preserve">Esperanza matemática (€)</t>
  </si>
  <si>
    <t xml:space="preserve">LA REINA. Cuánto ganas de media por operación. Si es negativa, el sistema pierde. Sin excepciones.</t>
  </si>
  <si>
    <t xml:space="preserve">Factor de beneficio</t>
  </si>
  <si>
    <t xml:space="preserve">Ganancias entre pérdidas. Por debajo de 1 pierdes. Por encima de 1,3 empieza a interesar.</t>
  </si>
  <si>
    <t xml:space="preserve">Ganancia media (€)</t>
  </si>
  <si>
    <t xml:space="preserve">Pérdida media (€)</t>
  </si>
  <si>
    <t xml:space="preserve">Ratio R medio</t>
  </si>
  <si>
    <t xml:space="preserve">Cuántas veces tu riesgo ganas de media. Busca que sea positivo y estable.</t>
  </si>
  <si>
    <t xml:space="preserve">Mejor operación (€)</t>
  </si>
  <si>
    <t xml:space="preserve">Peor operación (€)</t>
  </si>
  <si>
    <t xml:space="preserve">Si esta cifra te quita el sueño, tu tamaño de posición es demasiado grande.</t>
  </si>
  <si>
    <t xml:space="preserve">¿Y AHORA QUÉ?</t>
  </si>
  <si>
    <t xml:space="preserve">•  Si la esperanza matemática es NEGATIVA, no sigas: el sistema pierde dinero a largo plazo. Revisa las reglas.</t>
  </si>
  <si>
    <t xml:space="preserve">•  Si es POSITIVA con más de 100 operaciones, pasa al forward test: la misma estrategia, en demo y en tiempo real.</t>
  </si>
  <si>
    <t xml:space="preserve">•  Nunca saltes del backtest a la cuenta real. El dinero real es siempre el último paso, jamás el primero.</t>
  </si>
  <si>
    <t xml:space="preserve">formacionforex.com · Guía completa de backtesting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</si>
</sst>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General"/>
    <numFmt numFmtId="166" formatCode="dd/mm/yyyy"/>
    <numFmt numFmtId="167" formatCode="0.00000"/>
    <numFmt numFmtId="168" formatCode="#,##0.00&quot; €&quot;;[RED]\-#,##0.00&quot; €&quot;"/>
    <numFmt numFmtId="169" formatCode="0"/>
    <numFmt numFmtId="170" formatCode="0.0%"/>
    <numFmt numFmtId="171" formatCode="#,##0.00&quot; €&quot;"/>
    <numFmt numFmtId="172" formatCode="0.00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102A43"/>
      <name val="Arial"/>
      <family val="0"/>
      <charset val="1"/>
    </font>
    <font>
      <i val="true"/>
      <sz val="12"/>
      <color rgb="FF6B7A85"/>
      <name val="Arial"/>
      <family val="0"/>
      <charset val="1"/>
    </font>
    <font>
      <b val="true"/>
      <sz val="10"/>
      <color rgb="FFF25C44"/>
      <name val="Arial"/>
      <family val="0"/>
      <charset val="1"/>
    </font>
    <font>
      <b val="true"/>
      <sz val="13"/>
      <color rgb="FF10807C"/>
      <name val="Arial"/>
      <family val="0"/>
      <charset val="1"/>
    </font>
    <font>
      <sz val="11"/>
      <color rgb="FF243B4A"/>
      <name val="Arial"/>
      <family val="0"/>
      <charset val="1"/>
    </font>
    <font>
      <b val="true"/>
      <sz val="10.5"/>
      <color rgb="FF102A43"/>
      <name val="Arial"/>
      <family val="0"/>
      <charset val="1"/>
    </font>
    <font>
      <sz val="10.5"/>
      <color rgb="FF243B4A"/>
      <name val="Arial"/>
      <family val="0"/>
      <charset val="1"/>
    </font>
    <font>
      <i val="true"/>
      <sz val="9.5"/>
      <color rgb="FFF25C44"/>
      <name val="Arial"/>
      <family val="0"/>
      <charset val="1"/>
    </font>
    <font>
      <b val="true"/>
      <sz val="15"/>
      <color rgb="FF102A43"/>
      <name val="Arial"/>
      <family val="0"/>
      <charset val="1"/>
    </font>
    <font>
      <i val="true"/>
      <sz val="10"/>
      <color rgb="FF6B7A85"/>
      <name val="Arial"/>
      <family val="0"/>
      <charset val="1"/>
    </font>
    <font>
      <b val="true"/>
      <sz val="10.5"/>
      <color rgb="FFFFFFFF"/>
      <name val="Arial"/>
      <family val="0"/>
      <charset val="1"/>
    </font>
    <font>
      <sz val="10.5"/>
      <name val="Arial"/>
      <family val="0"/>
      <charset val="1"/>
    </font>
    <font>
      <i val="true"/>
      <sz val="10"/>
      <color rgb="FFF25C44"/>
      <name val="Arial"/>
      <family val="0"/>
      <charset val="1"/>
    </font>
    <font>
      <b val="true"/>
      <sz val="20"/>
      <color rgb="FF102A43"/>
      <name val="Arial"/>
      <family val="0"/>
      <charset val="1"/>
    </font>
    <font>
      <i val="true"/>
      <sz val="11"/>
      <color rgb="FF6B7A85"/>
      <name val="Arial"/>
      <family val="0"/>
      <charset val="1"/>
    </font>
    <font>
      <b val="true"/>
      <sz val="11"/>
      <color rgb="FF102A43"/>
      <name val="Arial"/>
      <family val="0"/>
      <charset val="1"/>
    </font>
    <font>
      <b val="true"/>
      <sz val="12"/>
      <color rgb="FF10807C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02A43"/>
        <bgColor rgb="FF243B4A"/>
      </patternFill>
    </fill>
    <fill>
      <patternFill patternType="solid">
        <fgColor rgb="FFF2F2F2"/>
        <bgColor rgb="FFE5F2F1"/>
      </patternFill>
    </fill>
    <fill>
      <patternFill patternType="solid">
        <fgColor rgb="FFFFF2CC"/>
        <bgColor rgb="FFFCE7E2"/>
      </patternFill>
    </fill>
    <fill>
      <patternFill patternType="solid">
        <fgColor rgb="FFE5F2F1"/>
        <bgColor rgb="FFF2F2F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4DFD5"/>
      </left>
      <right style="thin">
        <color rgb="FFE4DFD5"/>
      </right>
      <top style="thin">
        <color rgb="FFE4DFD5"/>
      </top>
      <bottom style="thin">
        <color rgb="FFE4DFD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70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name val="Arial"/>
        <charset val="1"/>
        <family val="0"/>
        <b val="1"/>
        <color rgb="FF10807C"/>
        <sz val="10"/>
      </font>
      <fill>
        <patternFill>
          <bgColor rgb="FFD6EFE9"/>
        </patternFill>
      </fill>
    </dxf>
    <dxf>
      <font>
        <name val="Arial"/>
        <charset val="1"/>
        <family val="0"/>
        <b val="1"/>
        <color rgb="FFF25C44"/>
        <sz val="10"/>
      </font>
      <fill>
        <patternFill>
          <bgColor rgb="FFFCE7E2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807C"/>
      <rgbColor rgb="FFC0C0C0"/>
      <rgbColor rgb="FF6B7A85"/>
      <rgbColor rgb="FF9999FF"/>
      <rgbColor rgb="FF993366"/>
      <rgbColor rgb="FFFFF2CC"/>
      <rgbColor rgb="FFD6EFE9"/>
      <rgbColor rgb="FF660066"/>
      <rgbColor rgb="FFFF8080"/>
      <rgbColor rgb="FF0066CC"/>
      <rgbColor rgb="FFE4DFD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5F2F1"/>
      <rgbColor rgb="FFF2F2F2"/>
      <rgbColor rgb="FFFCE7E2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25C44"/>
      <rgbColor rgb="FF666699"/>
      <rgbColor rgb="FF969696"/>
      <rgbColor rgb="FF102A43"/>
      <rgbColor rgb="FF339966"/>
      <rgbColor rgb="FF003300"/>
      <rgbColor rgb="FF333300"/>
      <rgbColor rgb="FF993300"/>
      <rgbColor rgb="FF993366"/>
      <rgbColor rgb="FF333399"/>
      <rgbColor rgb="FF243B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6"/>
    <col collapsed="false" customWidth="true" hidden="false" outlineLevel="0" max="3" min="3" style="0" width="82"/>
  </cols>
  <sheetData>
    <row r="2" customFormat="false" ht="26.8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4" customFormat="false" ht="15" hidden="false" customHeight="false" outlineLevel="0" collapsed="false">
      <c r="B4" s="3" t="s">
        <v>2</v>
      </c>
    </row>
    <row r="6" customFormat="false" ht="16.15" hidden="false" customHeight="false" outlineLevel="0" collapsed="false">
      <c r="B6" s="4" t="s">
        <v>3</v>
      </c>
    </row>
    <row r="7" customFormat="false" ht="30" hidden="false" customHeight="true" outlineLevel="0" collapsed="false">
      <c r="B7" s="5" t="s">
        <v>4</v>
      </c>
    </row>
    <row r="8" customFormat="false" ht="30" hidden="false" customHeight="true" outlineLevel="0" collapsed="false">
      <c r="B8" s="5" t="s">
        <v>5</v>
      </c>
    </row>
    <row r="9" customFormat="false" ht="30" hidden="false" customHeight="true" outlineLevel="0" collapsed="false">
      <c r="B9" s="5" t="s">
        <v>6</v>
      </c>
    </row>
    <row r="10" customFormat="false" ht="30" hidden="false" customHeight="true" outlineLevel="0" collapsed="false">
      <c r="B10" s="5" t="s">
        <v>7</v>
      </c>
    </row>
    <row r="12" customFormat="false" ht="16.15" hidden="false" customHeight="false" outlineLevel="0" collapsed="false">
      <c r="B12" s="4" t="s">
        <v>8</v>
      </c>
    </row>
    <row r="13" customFormat="false" ht="15" hidden="false" customHeight="false" outlineLevel="0" collapsed="false">
      <c r="B13" s="6" t="s">
        <v>9</v>
      </c>
      <c r="C13" s="7" t="s">
        <v>10</v>
      </c>
    </row>
    <row r="14" customFormat="false" ht="15" hidden="false" customHeight="false" outlineLevel="0" collapsed="false">
      <c r="B14" s="6" t="s">
        <v>11</v>
      </c>
      <c r="C14" s="7" t="s">
        <v>12</v>
      </c>
    </row>
    <row r="15" customFormat="false" ht="15" hidden="false" customHeight="false" outlineLevel="0" collapsed="false">
      <c r="B15" s="6" t="s">
        <v>13</v>
      </c>
      <c r="C15" s="7" t="s">
        <v>14</v>
      </c>
    </row>
    <row r="16" customFormat="false" ht="15" hidden="false" customHeight="false" outlineLevel="0" collapsed="false">
      <c r="B16" s="6" t="s">
        <v>15</v>
      </c>
      <c r="C16" s="7" t="s">
        <v>16</v>
      </c>
    </row>
    <row r="17" customFormat="false" ht="15" hidden="false" customHeight="false" outlineLevel="0" collapsed="false">
      <c r="B17" s="6" t="s">
        <v>17</v>
      </c>
      <c r="C17" s="7" t="s">
        <v>18</v>
      </c>
    </row>
    <row r="18" customFormat="false" ht="15" hidden="false" customHeight="false" outlineLevel="0" collapsed="false">
      <c r="B18" s="6" t="s">
        <v>19</v>
      </c>
      <c r="C18" s="7" t="s">
        <v>20</v>
      </c>
    </row>
    <row r="19" customFormat="false" ht="15" hidden="false" customHeight="false" outlineLevel="0" collapsed="false">
      <c r="B19" s="6" t="s">
        <v>21</v>
      </c>
      <c r="C19" s="7" t="s">
        <v>22</v>
      </c>
    </row>
    <row r="20" customFormat="false" ht="15" hidden="false" customHeight="false" outlineLevel="0" collapsed="false">
      <c r="B20" s="6" t="s">
        <v>23</v>
      </c>
      <c r="C20" s="7" t="s">
        <v>24</v>
      </c>
    </row>
    <row r="21" customFormat="false" ht="15" hidden="false" customHeight="false" outlineLevel="0" collapsed="false">
      <c r="B21" s="6" t="s">
        <v>25</v>
      </c>
      <c r="C21" s="7" t="s">
        <v>26</v>
      </c>
    </row>
    <row r="22" customFormat="false" ht="15" hidden="false" customHeight="false" outlineLevel="0" collapsed="false">
      <c r="B22" s="6" t="s">
        <v>27</v>
      </c>
      <c r="C22" s="7" t="s">
        <v>28</v>
      </c>
    </row>
    <row r="23" customFormat="false" ht="15" hidden="false" customHeight="false" outlineLevel="0" collapsed="false">
      <c r="B23" s="6" t="s">
        <v>29</v>
      </c>
      <c r="C23" s="7" t="s">
        <v>30</v>
      </c>
    </row>
    <row r="24" customFormat="false" ht="15" hidden="false" customHeight="false" outlineLevel="0" collapsed="false">
      <c r="B24" s="6" t="s">
        <v>31</v>
      </c>
      <c r="C24" s="7" t="s">
        <v>32</v>
      </c>
    </row>
    <row r="25" customFormat="false" ht="15" hidden="false" customHeight="false" outlineLevel="0" collapsed="false">
      <c r="B25" s="6" t="s">
        <v>33</v>
      </c>
      <c r="C25" s="7" t="s">
        <v>34</v>
      </c>
    </row>
    <row r="26" customFormat="false" ht="15" hidden="false" customHeight="false" outlineLevel="0" collapsed="false">
      <c r="B26" s="6" t="s">
        <v>35</v>
      </c>
      <c r="C26" s="7" t="s">
        <v>36</v>
      </c>
    </row>
    <row r="27" customFormat="false" ht="15" hidden="false" customHeight="false" outlineLevel="0" collapsed="false">
      <c r="B27" s="6" t="s">
        <v>37</v>
      </c>
      <c r="C27" s="7" t="s">
        <v>38</v>
      </c>
    </row>
    <row r="28" customFormat="false" ht="15" hidden="false" customHeight="false" outlineLevel="0" collapsed="false">
      <c r="B28" s="6" t="s">
        <v>39</v>
      </c>
      <c r="C28" s="7" t="s">
        <v>40</v>
      </c>
    </row>
    <row r="31" customFormat="false" ht="16.15" hidden="false" customHeight="false" outlineLevel="0" collapsed="false">
      <c r="B31" s="4" t="s">
        <v>41</v>
      </c>
    </row>
    <row r="32" customFormat="false" ht="30" hidden="false" customHeight="true" outlineLevel="0" collapsed="false">
      <c r="B32" s="5" t="s">
        <v>42</v>
      </c>
    </row>
    <row r="34" customFormat="false" ht="30" hidden="false" customHeight="true" outlineLevel="0" collapsed="false">
      <c r="B34" s="5" t="s">
        <v>43</v>
      </c>
    </row>
    <row r="36" customFormat="false" ht="30" hidden="false" customHeight="true" outlineLevel="0" collapsed="false">
      <c r="B36" s="5" t="s">
        <v>44</v>
      </c>
    </row>
    <row r="39" customFormat="false" ht="30" hidden="false" customHeight="true" outlineLevel="0" collapsed="false">
      <c r="B39" s="8" t="s">
        <v>45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20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2"/>
    <col collapsed="false" customWidth="true" hidden="false" outlineLevel="0" max="3" min="3" style="0" width="13"/>
    <col collapsed="false" customWidth="true" hidden="false" outlineLevel="0" max="4" min="4" style="0" width="8"/>
    <col collapsed="false" customWidth="true" hidden="false" outlineLevel="0" max="5" min="5" style="0" width="11"/>
    <col collapsed="false" customWidth="true" hidden="false" outlineLevel="0" max="6" min="6" style="0" width="14"/>
    <col collapsed="false" customWidth="true" hidden="false" outlineLevel="0" max="8" min="7" style="0" width="12"/>
    <col collapsed="false" customWidth="true" hidden="false" outlineLevel="0" max="9" min="9" style="0" width="13"/>
    <col collapsed="false" customWidth="true" hidden="false" outlineLevel="0" max="10" min="10" style="0" width="12"/>
    <col collapsed="false" customWidth="true" hidden="false" outlineLevel="0" max="11" min="11" style="0" width="14"/>
    <col collapsed="false" customWidth="true" hidden="false" outlineLevel="0" max="12" min="12" style="0" width="13"/>
    <col collapsed="false" customWidth="true" hidden="false" outlineLevel="0" max="13" min="13" style="0" width="9"/>
    <col collapsed="false" customWidth="true" hidden="false" outlineLevel="0" max="14" min="14" style="0" width="14"/>
    <col collapsed="false" customWidth="true" hidden="false" outlineLevel="0" max="15" min="15" style="0" width="13"/>
    <col collapsed="false" customWidth="true" hidden="false" outlineLevel="0" max="16" min="16" style="0" width="55"/>
  </cols>
  <sheetData>
    <row r="1" customFormat="false" ht="18.55" hidden="false" customHeight="false" outlineLevel="0" collapsed="false">
      <c r="A1" s="9" t="s">
        <v>46</v>
      </c>
    </row>
    <row r="2" customFormat="false" ht="15" hidden="false" customHeight="false" outlineLevel="0" collapsed="false">
      <c r="A2" s="10" t="s">
        <v>47</v>
      </c>
    </row>
    <row r="4" customFormat="false" ht="31.5" hidden="false" customHeight="true" outlineLevel="0" collapsed="false">
      <c r="A4" s="11" t="s">
        <v>9</v>
      </c>
      <c r="B4" s="11" t="s">
        <v>11</v>
      </c>
      <c r="C4" s="11" t="s">
        <v>13</v>
      </c>
      <c r="D4" s="11" t="s">
        <v>48</v>
      </c>
      <c r="E4" s="11" t="s">
        <v>17</v>
      </c>
      <c r="F4" s="11" t="s">
        <v>19</v>
      </c>
      <c r="G4" s="11" t="s">
        <v>21</v>
      </c>
      <c r="H4" s="11" t="s">
        <v>23</v>
      </c>
      <c r="I4" s="11" t="s">
        <v>25</v>
      </c>
      <c r="J4" s="11" t="s">
        <v>27</v>
      </c>
      <c r="K4" s="11" t="s">
        <v>29</v>
      </c>
      <c r="L4" s="11" t="s">
        <v>31</v>
      </c>
      <c r="M4" s="11" t="s">
        <v>33</v>
      </c>
      <c r="N4" s="11" t="s">
        <v>35</v>
      </c>
      <c r="O4" s="11" t="s">
        <v>37</v>
      </c>
      <c r="P4" s="11" t="s">
        <v>39</v>
      </c>
    </row>
    <row r="5" customFormat="false" ht="15" hidden="false" customHeight="false" outlineLevel="0" collapsed="false">
      <c r="A5" s="12" t="n">
        <f aca="false">IF(B5="","",1)</f>
        <v>1</v>
      </c>
      <c r="B5" s="13" t="n">
        <v>46092</v>
      </c>
      <c r="C5" s="14" t="s">
        <v>49</v>
      </c>
      <c r="D5" s="15" t="s">
        <v>50</v>
      </c>
      <c r="E5" s="15" t="s">
        <v>51</v>
      </c>
      <c r="F5" s="16" t="n">
        <v>1.0842</v>
      </c>
      <c r="G5" s="16" t="n">
        <v>1.0812</v>
      </c>
      <c r="H5" s="16" t="n">
        <v>1.0902</v>
      </c>
      <c r="I5" s="16" t="n">
        <v>1.0898</v>
      </c>
      <c r="J5" s="12" t="n">
        <f aca="false">IF(OR(F5="",G5=""),"",ROUND(ABS(F5-G5)*IF(ISNUMBER(SEARCH("JPY",C5)),100,10000),1))</f>
        <v>30</v>
      </c>
      <c r="K5" s="12" t="n">
        <f aca="false">IF(OR(F5="",I5="",E5=""),"",ROUND(IF(E5="Compra",(I5-F5),(F5-I5))*IF(ISNUMBER(SEARCH("JPY",C5)),100,10000),1))</f>
        <v>56</v>
      </c>
      <c r="L5" s="17" t="n">
        <v>84</v>
      </c>
      <c r="M5" s="12" t="n">
        <f aca="false">IF(OR(J5="",K5="",J5=0),"",ROUND(K5/J5,2))</f>
        <v>1.87</v>
      </c>
      <c r="N5" s="18" t="str">
        <f aca="false">IF(L5="","",IF(L5&gt;0,"Ganada",IF(L5&lt;0,"Perdida","Nula")))</f>
        <v>Ganada</v>
      </c>
      <c r="O5" s="15" t="s">
        <v>52</v>
      </c>
      <c r="P5" s="19" t="s">
        <v>53</v>
      </c>
    </row>
    <row r="6" customFormat="false" ht="15" hidden="false" customHeight="false" outlineLevel="0" collapsed="false">
      <c r="A6" s="12" t="str">
        <f aca="false">IF(B6="","",2)</f>
        <v/>
      </c>
      <c r="B6" s="13"/>
      <c r="C6" s="14"/>
      <c r="D6" s="15"/>
      <c r="E6" s="15"/>
      <c r="F6" s="16"/>
      <c r="G6" s="16"/>
      <c r="H6" s="16"/>
      <c r="I6" s="16"/>
      <c r="J6" s="12" t="str">
        <f aca="false">IF(OR(F6="",G6=""),"",ROUND(ABS(F6-G6)*IF(ISNUMBER(SEARCH("JPY",C6)),100,10000),1))</f>
        <v/>
      </c>
      <c r="K6" s="12" t="str">
        <f aca="false">IF(OR(F6="",I6="",E6=""),"",ROUND(IF(E6="Compra",(I6-F6),(F6-I6))*IF(ISNUMBER(SEARCH("JPY",C6)),100,10000),1))</f>
        <v/>
      </c>
      <c r="L6" s="17"/>
      <c r="M6" s="12" t="str">
        <f aca="false">IF(OR(J6="",K6="",J6=0),"",ROUND(K6/J6,2))</f>
        <v/>
      </c>
      <c r="N6" s="18" t="str">
        <f aca="false">IF(L6="","",IF(L6&gt;0,"Ganada",IF(L6&lt;0,"Perdida","Nula")))</f>
        <v/>
      </c>
      <c r="O6" s="15"/>
      <c r="P6" s="14"/>
    </row>
    <row r="7" customFormat="false" ht="15" hidden="false" customHeight="false" outlineLevel="0" collapsed="false">
      <c r="A7" s="12" t="str">
        <f aca="false">IF(B7="","",3)</f>
        <v/>
      </c>
      <c r="B7" s="13"/>
      <c r="C7" s="14"/>
      <c r="D7" s="15"/>
      <c r="E7" s="15"/>
      <c r="F7" s="16"/>
      <c r="G7" s="16"/>
      <c r="H7" s="16"/>
      <c r="I7" s="16"/>
      <c r="J7" s="12" t="str">
        <f aca="false">IF(OR(F7="",G7=""),"",ROUND(ABS(F7-G7)*IF(ISNUMBER(SEARCH("JPY",C7)),100,10000),1))</f>
        <v/>
      </c>
      <c r="K7" s="12" t="str">
        <f aca="false">IF(OR(F7="",I7="",E7=""),"",ROUND(IF(E7="Compra",(I7-F7),(F7-I7))*IF(ISNUMBER(SEARCH("JPY",C7)),100,10000),1))</f>
        <v/>
      </c>
      <c r="L7" s="17"/>
      <c r="M7" s="12" t="str">
        <f aca="false">IF(OR(J7="",K7="",J7=0),"",ROUND(K7/J7,2))</f>
        <v/>
      </c>
      <c r="N7" s="18" t="str">
        <f aca="false">IF(L7="","",IF(L7&gt;0,"Ganada",IF(L7&lt;0,"Perdida","Nula")))</f>
        <v/>
      </c>
      <c r="O7" s="15"/>
      <c r="P7" s="14"/>
    </row>
    <row r="8" customFormat="false" ht="15" hidden="false" customHeight="false" outlineLevel="0" collapsed="false">
      <c r="A8" s="12" t="str">
        <f aca="false">IF(B8="","",4)</f>
        <v/>
      </c>
      <c r="B8" s="13"/>
      <c r="C8" s="14"/>
      <c r="D8" s="15"/>
      <c r="E8" s="15"/>
      <c r="F8" s="16"/>
      <c r="G8" s="16"/>
      <c r="H8" s="16"/>
      <c r="I8" s="16"/>
      <c r="J8" s="12" t="str">
        <f aca="false">IF(OR(F8="",G8=""),"",ROUND(ABS(F8-G8)*IF(ISNUMBER(SEARCH("JPY",C8)),100,10000),1))</f>
        <v/>
      </c>
      <c r="K8" s="12" t="str">
        <f aca="false">IF(OR(F8="",I8="",E8=""),"",ROUND(IF(E8="Compra",(I8-F8),(F8-I8))*IF(ISNUMBER(SEARCH("JPY",C8)),100,10000),1))</f>
        <v/>
      </c>
      <c r="L8" s="17"/>
      <c r="M8" s="12" t="str">
        <f aca="false">IF(OR(J8="",K8="",J8=0),"",ROUND(K8/J8,2))</f>
        <v/>
      </c>
      <c r="N8" s="18" t="str">
        <f aca="false">IF(L8="","",IF(L8&gt;0,"Ganada",IF(L8&lt;0,"Perdida","Nula")))</f>
        <v/>
      </c>
      <c r="O8" s="15"/>
      <c r="P8" s="14"/>
    </row>
    <row r="9" customFormat="false" ht="15" hidden="false" customHeight="false" outlineLevel="0" collapsed="false">
      <c r="A9" s="12" t="str">
        <f aca="false">IF(B9="","",5)</f>
        <v/>
      </c>
      <c r="B9" s="13"/>
      <c r="C9" s="14"/>
      <c r="D9" s="15"/>
      <c r="E9" s="15"/>
      <c r="F9" s="16"/>
      <c r="G9" s="16"/>
      <c r="H9" s="16"/>
      <c r="I9" s="16"/>
      <c r="J9" s="12" t="str">
        <f aca="false">IF(OR(F9="",G9=""),"",ROUND(ABS(F9-G9)*IF(ISNUMBER(SEARCH("JPY",C9)),100,10000),1))</f>
        <v/>
      </c>
      <c r="K9" s="12" t="str">
        <f aca="false">IF(OR(F9="",I9="",E9=""),"",ROUND(IF(E9="Compra",(I9-F9),(F9-I9))*IF(ISNUMBER(SEARCH("JPY",C9)),100,10000),1))</f>
        <v/>
      </c>
      <c r="L9" s="17"/>
      <c r="M9" s="12" t="str">
        <f aca="false">IF(OR(J9="",K9="",J9=0),"",ROUND(K9/J9,2))</f>
        <v/>
      </c>
      <c r="N9" s="18" t="str">
        <f aca="false">IF(L9="","",IF(L9&gt;0,"Ganada",IF(L9&lt;0,"Perdida","Nula")))</f>
        <v/>
      </c>
      <c r="O9" s="15"/>
      <c r="P9" s="14"/>
    </row>
    <row r="10" customFormat="false" ht="15" hidden="false" customHeight="false" outlineLevel="0" collapsed="false">
      <c r="A10" s="12" t="str">
        <f aca="false">IF(B10="","",6)</f>
        <v/>
      </c>
      <c r="B10" s="13"/>
      <c r="C10" s="14"/>
      <c r="D10" s="15"/>
      <c r="E10" s="15"/>
      <c r="F10" s="16"/>
      <c r="G10" s="16"/>
      <c r="H10" s="16"/>
      <c r="I10" s="16"/>
      <c r="J10" s="12" t="str">
        <f aca="false">IF(OR(F10="",G10=""),"",ROUND(ABS(F10-G10)*IF(ISNUMBER(SEARCH("JPY",C10)),100,10000),1))</f>
        <v/>
      </c>
      <c r="K10" s="12" t="str">
        <f aca="false">IF(OR(F10="",I10="",E10=""),"",ROUND(IF(E10="Compra",(I10-F10),(F10-I10))*IF(ISNUMBER(SEARCH("JPY",C10)),100,10000),1))</f>
        <v/>
      </c>
      <c r="L10" s="17"/>
      <c r="M10" s="12" t="str">
        <f aca="false">IF(OR(J10="",K10="",J10=0),"",ROUND(K10/J10,2))</f>
        <v/>
      </c>
      <c r="N10" s="18" t="str">
        <f aca="false">IF(L10="","",IF(L10&gt;0,"Ganada",IF(L10&lt;0,"Perdida","Nula")))</f>
        <v/>
      </c>
      <c r="O10" s="15"/>
      <c r="P10" s="14"/>
    </row>
    <row r="11" customFormat="false" ht="15" hidden="false" customHeight="false" outlineLevel="0" collapsed="false">
      <c r="A11" s="12" t="str">
        <f aca="false">IF(B11="","",7)</f>
        <v/>
      </c>
      <c r="B11" s="13"/>
      <c r="C11" s="14"/>
      <c r="D11" s="15"/>
      <c r="E11" s="15"/>
      <c r="F11" s="16"/>
      <c r="G11" s="16"/>
      <c r="H11" s="16"/>
      <c r="I11" s="16"/>
      <c r="J11" s="12" t="str">
        <f aca="false">IF(OR(F11="",G11=""),"",ROUND(ABS(F11-G11)*IF(ISNUMBER(SEARCH("JPY",C11)),100,10000),1))</f>
        <v/>
      </c>
      <c r="K11" s="12" t="str">
        <f aca="false">IF(OR(F11="",I11="",E11=""),"",ROUND(IF(E11="Compra",(I11-F11),(F11-I11))*IF(ISNUMBER(SEARCH("JPY",C11)),100,10000),1))</f>
        <v/>
      </c>
      <c r="L11" s="17"/>
      <c r="M11" s="12" t="str">
        <f aca="false">IF(OR(J11="",K11="",J11=0),"",ROUND(K11/J11,2))</f>
        <v/>
      </c>
      <c r="N11" s="18" t="str">
        <f aca="false">IF(L11="","",IF(L11&gt;0,"Ganada",IF(L11&lt;0,"Perdida","Nula")))</f>
        <v/>
      </c>
      <c r="O11" s="15"/>
      <c r="P11" s="14"/>
    </row>
    <row r="12" customFormat="false" ht="15" hidden="false" customHeight="false" outlineLevel="0" collapsed="false">
      <c r="A12" s="12" t="str">
        <f aca="false">IF(B12="","",8)</f>
        <v/>
      </c>
      <c r="B12" s="13"/>
      <c r="C12" s="14"/>
      <c r="D12" s="15"/>
      <c r="E12" s="15"/>
      <c r="F12" s="16"/>
      <c r="G12" s="16"/>
      <c r="H12" s="16"/>
      <c r="I12" s="16"/>
      <c r="J12" s="12" t="str">
        <f aca="false">IF(OR(F12="",G12=""),"",ROUND(ABS(F12-G12)*IF(ISNUMBER(SEARCH("JPY",C12)),100,10000),1))</f>
        <v/>
      </c>
      <c r="K12" s="12" t="str">
        <f aca="false">IF(OR(F12="",I12="",E12=""),"",ROUND(IF(E12="Compra",(I12-F12),(F12-I12))*IF(ISNUMBER(SEARCH("JPY",C12)),100,10000),1))</f>
        <v/>
      </c>
      <c r="L12" s="17"/>
      <c r="M12" s="12" t="str">
        <f aca="false">IF(OR(J12="",K12="",J12=0),"",ROUND(K12/J12,2))</f>
        <v/>
      </c>
      <c r="N12" s="18" t="str">
        <f aca="false">IF(L12="","",IF(L12&gt;0,"Ganada",IF(L12&lt;0,"Perdida","Nula")))</f>
        <v/>
      </c>
      <c r="O12" s="15"/>
      <c r="P12" s="14"/>
    </row>
    <row r="13" customFormat="false" ht="15" hidden="false" customHeight="false" outlineLevel="0" collapsed="false">
      <c r="A13" s="12" t="str">
        <f aca="false">IF(B13="","",9)</f>
        <v/>
      </c>
      <c r="B13" s="13"/>
      <c r="C13" s="14"/>
      <c r="D13" s="15"/>
      <c r="E13" s="15"/>
      <c r="F13" s="16"/>
      <c r="G13" s="16"/>
      <c r="H13" s="16"/>
      <c r="I13" s="16"/>
      <c r="J13" s="12" t="str">
        <f aca="false">IF(OR(F13="",G13=""),"",ROUND(ABS(F13-G13)*IF(ISNUMBER(SEARCH("JPY",C13)),100,10000),1))</f>
        <v/>
      </c>
      <c r="K13" s="12" t="str">
        <f aca="false">IF(OR(F13="",I13="",E13=""),"",ROUND(IF(E13="Compra",(I13-F13),(F13-I13))*IF(ISNUMBER(SEARCH("JPY",C13)),100,10000),1))</f>
        <v/>
      </c>
      <c r="L13" s="17"/>
      <c r="M13" s="12" t="str">
        <f aca="false">IF(OR(J13="",K13="",J13=0),"",ROUND(K13/J13,2))</f>
        <v/>
      </c>
      <c r="N13" s="18" t="str">
        <f aca="false">IF(L13="","",IF(L13&gt;0,"Ganada",IF(L13&lt;0,"Perdida","Nula")))</f>
        <v/>
      </c>
      <c r="O13" s="15"/>
      <c r="P13" s="14"/>
    </row>
    <row r="14" customFormat="false" ht="15" hidden="false" customHeight="false" outlineLevel="0" collapsed="false">
      <c r="A14" s="12" t="str">
        <f aca="false">IF(B14="","",10)</f>
        <v/>
      </c>
      <c r="B14" s="13"/>
      <c r="C14" s="14"/>
      <c r="D14" s="15"/>
      <c r="E14" s="15"/>
      <c r="F14" s="16"/>
      <c r="G14" s="16"/>
      <c r="H14" s="16"/>
      <c r="I14" s="16"/>
      <c r="J14" s="12" t="str">
        <f aca="false">IF(OR(F14="",G14=""),"",ROUND(ABS(F14-G14)*IF(ISNUMBER(SEARCH("JPY",C14)),100,10000),1))</f>
        <v/>
      </c>
      <c r="K14" s="12" t="str">
        <f aca="false">IF(OR(F14="",I14="",E14=""),"",ROUND(IF(E14="Compra",(I14-F14),(F14-I14))*IF(ISNUMBER(SEARCH("JPY",C14)),100,10000),1))</f>
        <v/>
      </c>
      <c r="L14" s="17"/>
      <c r="M14" s="12" t="str">
        <f aca="false">IF(OR(J14="",K14="",J14=0),"",ROUND(K14/J14,2))</f>
        <v/>
      </c>
      <c r="N14" s="18" t="str">
        <f aca="false">IF(L14="","",IF(L14&gt;0,"Ganada",IF(L14&lt;0,"Perdida","Nula")))</f>
        <v/>
      </c>
      <c r="O14" s="15"/>
      <c r="P14" s="14"/>
    </row>
    <row r="15" customFormat="false" ht="15" hidden="false" customHeight="false" outlineLevel="0" collapsed="false">
      <c r="A15" s="12" t="str">
        <f aca="false">IF(B15="","",11)</f>
        <v/>
      </c>
      <c r="B15" s="13"/>
      <c r="C15" s="14"/>
      <c r="D15" s="15"/>
      <c r="E15" s="15"/>
      <c r="F15" s="16"/>
      <c r="G15" s="16"/>
      <c r="H15" s="16"/>
      <c r="I15" s="16"/>
      <c r="J15" s="12" t="str">
        <f aca="false">IF(OR(F15="",G15=""),"",ROUND(ABS(F15-G15)*IF(ISNUMBER(SEARCH("JPY",C15)),100,10000),1))</f>
        <v/>
      </c>
      <c r="K15" s="12" t="str">
        <f aca="false">IF(OR(F15="",I15="",E15=""),"",ROUND(IF(E15="Compra",(I15-F15),(F15-I15))*IF(ISNUMBER(SEARCH("JPY",C15)),100,10000),1))</f>
        <v/>
      </c>
      <c r="L15" s="17"/>
      <c r="M15" s="12" t="str">
        <f aca="false">IF(OR(J15="",K15="",J15=0),"",ROUND(K15/J15,2))</f>
        <v/>
      </c>
      <c r="N15" s="18" t="str">
        <f aca="false">IF(L15="","",IF(L15&gt;0,"Ganada",IF(L15&lt;0,"Perdida","Nula")))</f>
        <v/>
      </c>
      <c r="O15" s="15"/>
      <c r="P15" s="14"/>
    </row>
    <row r="16" customFormat="false" ht="15" hidden="false" customHeight="false" outlineLevel="0" collapsed="false">
      <c r="A16" s="12" t="str">
        <f aca="false">IF(B16="","",12)</f>
        <v/>
      </c>
      <c r="B16" s="13"/>
      <c r="C16" s="14"/>
      <c r="D16" s="15"/>
      <c r="E16" s="15"/>
      <c r="F16" s="16"/>
      <c r="G16" s="16"/>
      <c r="H16" s="16"/>
      <c r="I16" s="16"/>
      <c r="J16" s="12" t="str">
        <f aca="false">IF(OR(F16="",G16=""),"",ROUND(ABS(F16-G16)*IF(ISNUMBER(SEARCH("JPY",C16)),100,10000),1))</f>
        <v/>
      </c>
      <c r="K16" s="12" t="str">
        <f aca="false">IF(OR(F16="",I16="",E16=""),"",ROUND(IF(E16="Compra",(I16-F16),(F16-I16))*IF(ISNUMBER(SEARCH("JPY",C16)),100,10000),1))</f>
        <v/>
      </c>
      <c r="L16" s="17"/>
      <c r="M16" s="12" t="str">
        <f aca="false">IF(OR(J16="",K16="",J16=0),"",ROUND(K16/J16,2))</f>
        <v/>
      </c>
      <c r="N16" s="18" t="str">
        <f aca="false">IF(L16="","",IF(L16&gt;0,"Ganada",IF(L16&lt;0,"Perdida","Nula")))</f>
        <v/>
      </c>
      <c r="O16" s="15"/>
      <c r="P16" s="14"/>
    </row>
    <row r="17" customFormat="false" ht="15" hidden="false" customHeight="false" outlineLevel="0" collapsed="false">
      <c r="A17" s="12" t="str">
        <f aca="false">IF(B17="","",13)</f>
        <v/>
      </c>
      <c r="B17" s="13"/>
      <c r="C17" s="14"/>
      <c r="D17" s="15"/>
      <c r="E17" s="15"/>
      <c r="F17" s="16"/>
      <c r="G17" s="16"/>
      <c r="H17" s="16"/>
      <c r="I17" s="16"/>
      <c r="J17" s="12" t="str">
        <f aca="false">IF(OR(F17="",G17=""),"",ROUND(ABS(F17-G17)*IF(ISNUMBER(SEARCH("JPY",C17)),100,10000),1))</f>
        <v/>
      </c>
      <c r="K17" s="12" t="str">
        <f aca="false">IF(OR(F17="",I17="",E17=""),"",ROUND(IF(E17="Compra",(I17-F17),(F17-I17))*IF(ISNUMBER(SEARCH("JPY",C17)),100,10000),1))</f>
        <v/>
      </c>
      <c r="L17" s="17"/>
      <c r="M17" s="12" t="str">
        <f aca="false">IF(OR(J17="",K17="",J17=0),"",ROUND(K17/J17,2))</f>
        <v/>
      </c>
      <c r="N17" s="18" t="str">
        <f aca="false">IF(L17="","",IF(L17&gt;0,"Ganada",IF(L17&lt;0,"Perdida","Nula")))</f>
        <v/>
      </c>
      <c r="O17" s="15"/>
      <c r="P17" s="14"/>
    </row>
    <row r="18" customFormat="false" ht="15" hidden="false" customHeight="false" outlineLevel="0" collapsed="false">
      <c r="A18" s="12" t="str">
        <f aca="false">IF(B18="","",14)</f>
        <v/>
      </c>
      <c r="B18" s="13"/>
      <c r="C18" s="14"/>
      <c r="D18" s="15"/>
      <c r="E18" s="15"/>
      <c r="F18" s="16"/>
      <c r="G18" s="16"/>
      <c r="H18" s="16"/>
      <c r="I18" s="16"/>
      <c r="J18" s="12" t="str">
        <f aca="false">IF(OR(F18="",G18=""),"",ROUND(ABS(F18-G18)*IF(ISNUMBER(SEARCH("JPY",C18)),100,10000),1))</f>
        <v/>
      </c>
      <c r="K18" s="12" t="str">
        <f aca="false">IF(OR(F18="",I18="",E18=""),"",ROUND(IF(E18="Compra",(I18-F18),(F18-I18))*IF(ISNUMBER(SEARCH("JPY",C18)),100,10000),1))</f>
        <v/>
      </c>
      <c r="L18" s="17"/>
      <c r="M18" s="12" t="str">
        <f aca="false">IF(OR(J18="",K18="",J18=0),"",ROUND(K18/J18,2))</f>
        <v/>
      </c>
      <c r="N18" s="18" t="str">
        <f aca="false">IF(L18="","",IF(L18&gt;0,"Ganada",IF(L18&lt;0,"Perdida","Nula")))</f>
        <v/>
      </c>
      <c r="O18" s="15"/>
      <c r="P18" s="14"/>
    </row>
    <row r="19" customFormat="false" ht="15" hidden="false" customHeight="false" outlineLevel="0" collapsed="false">
      <c r="A19" s="12" t="str">
        <f aca="false">IF(B19="","",15)</f>
        <v/>
      </c>
      <c r="B19" s="13"/>
      <c r="C19" s="14"/>
      <c r="D19" s="15"/>
      <c r="E19" s="15"/>
      <c r="F19" s="16"/>
      <c r="G19" s="16"/>
      <c r="H19" s="16"/>
      <c r="I19" s="16"/>
      <c r="J19" s="12" t="str">
        <f aca="false">IF(OR(F19="",G19=""),"",ROUND(ABS(F19-G19)*IF(ISNUMBER(SEARCH("JPY",C19)),100,10000),1))</f>
        <v/>
      </c>
      <c r="K19" s="12" t="str">
        <f aca="false">IF(OR(F19="",I19="",E19=""),"",ROUND(IF(E19="Compra",(I19-F19),(F19-I19))*IF(ISNUMBER(SEARCH("JPY",C19)),100,10000),1))</f>
        <v/>
      </c>
      <c r="L19" s="17"/>
      <c r="M19" s="12" t="str">
        <f aca="false">IF(OR(J19="",K19="",J19=0),"",ROUND(K19/J19,2))</f>
        <v/>
      </c>
      <c r="N19" s="18" t="str">
        <f aca="false">IF(L19="","",IF(L19&gt;0,"Ganada",IF(L19&lt;0,"Perdida","Nula")))</f>
        <v/>
      </c>
      <c r="O19" s="15"/>
      <c r="P19" s="14"/>
    </row>
    <row r="20" customFormat="false" ht="15" hidden="false" customHeight="false" outlineLevel="0" collapsed="false">
      <c r="A20" s="12" t="str">
        <f aca="false">IF(B20="","",16)</f>
        <v/>
      </c>
      <c r="B20" s="13"/>
      <c r="C20" s="14"/>
      <c r="D20" s="15"/>
      <c r="E20" s="15"/>
      <c r="F20" s="16"/>
      <c r="G20" s="16"/>
      <c r="H20" s="16"/>
      <c r="I20" s="16"/>
      <c r="J20" s="12" t="str">
        <f aca="false">IF(OR(F20="",G20=""),"",ROUND(ABS(F20-G20)*IF(ISNUMBER(SEARCH("JPY",C20)),100,10000),1))</f>
        <v/>
      </c>
      <c r="K20" s="12" t="str">
        <f aca="false">IF(OR(F20="",I20="",E20=""),"",ROUND(IF(E20="Compra",(I20-F20),(F20-I20))*IF(ISNUMBER(SEARCH("JPY",C20)),100,10000),1))</f>
        <v/>
      </c>
      <c r="L20" s="17"/>
      <c r="M20" s="12" t="str">
        <f aca="false">IF(OR(J20="",K20="",J20=0),"",ROUND(K20/J20,2))</f>
        <v/>
      </c>
      <c r="N20" s="18" t="str">
        <f aca="false">IF(L20="","",IF(L20&gt;0,"Ganada",IF(L20&lt;0,"Perdida","Nula")))</f>
        <v/>
      </c>
      <c r="O20" s="15"/>
      <c r="P20" s="14"/>
    </row>
    <row r="21" customFormat="false" ht="15" hidden="false" customHeight="false" outlineLevel="0" collapsed="false">
      <c r="A21" s="12" t="str">
        <f aca="false">IF(B21="","",17)</f>
        <v/>
      </c>
      <c r="B21" s="13"/>
      <c r="C21" s="14"/>
      <c r="D21" s="15"/>
      <c r="E21" s="15"/>
      <c r="F21" s="16"/>
      <c r="G21" s="16"/>
      <c r="H21" s="16"/>
      <c r="I21" s="16"/>
      <c r="J21" s="12" t="str">
        <f aca="false">IF(OR(F21="",G21=""),"",ROUND(ABS(F21-G21)*IF(ISNUMBER(SEARCH("JPY",C21)),100,10000),1))</f>
        <v/>
      </c>
      <c r="K21" s="12" t="str">
        <f aca="false">IF(OR(F21="",I21="",E21=""),"",ROUND(IF(E21="Compra",(I21-F21),(F21-I21))*IF(ISNUMBER(SEARCH("JPY",C21)),100,10000),1))</f>
        <v/>
      </c>
      <c r="L21" s="17"/>
      <c r="M21" s="12" t="str">
        <f aca="false">IF(OR(J21="",K21="",J21=0),"",ROUND(K21/J21,2))</f>
        <v/>
      </c>
      <c r="N21" s="18" t="str">
        <f aca="false">IF(L21="","",IF(L21&gt;0,"Ganada",IF(L21&lt;0,"Perdida","Nula")))</f>
        <v/>
      </c>
      <c r="O21" s="15"/>
      <c r="P21" s="14"/>
    </row>
    <row r="22" customFormat="false" ht="15" hidden="false" customHeight="false" outlineLevel="0" collapsed="false">
      <c r="A22" s="12" t="str">
        <f aca="false">IF(B22="","",18)</f>
        <v/>
      </c>
      <c r="B22" s="13"/>
      <c r="C22" s="14"/>
      <c r="D22" s="15"/>
      <c r="E22" s="15"/>
      <c r="F22" s="16"/>
      <c r="G22" s="16"/>
      <c r="H22" s="16"/>
      <c r="I22" s="16"/>
      <c r="J22" s="12" t="str">
        <f aca="false">IF(OR(F22="",G22=""),"",ROUND(ABS(F22-G22)*IF(ISNUMBER(SEARCH("JPY",C22)),100,10000),1))</f>
        <v/>
      </c>
      <c r="K22" s="12" t="str">
        <f aca="false">IF(OR(F22="",I22="",E22=""),"",ROUND(IF(E22="Compra",(I22-F22),(F22-I22))*IF(ISNUMBER(SEARCH("JPY",C22)),100,10000),1))</f>
        <v/>
      </c>
      <c r="L22" s="17"/>
      <c r="M22" s="12" t="str">
        <f aca="false">IF(OR(J22="",K22="",J22=0),"",ROUND(K22/J22,2))</f>
        <v/>
      </c>
      <c r="N22" s="18" t="str">
        <f aca="false">IF(L22="","",IF(L22&gt;0,"Ganada",IF(L22&lt;0,"Perdida","Nula")))</f>
        <v/>
      </c>
      <c r="O22" s="15"/>
      <c r="P22" s="14"/>
    </row>
    <row r="23" customFormat="false" ht="15" hidden="false" customHeight="false" outlineLevel="0" collapsed="false">
      <c r="A23" s="12" t="str">
        <f aca="false">IF(B23="","",19)</f>
        <v/>
      </c>
      <c r="B23" s="13"/>
      <c r="C23" s="14"/>
      <c r="D23" s="15"/>
      <c r="E23" s="15"/>
      <c r="F23" s="16"/>
      <c r="G23" s="16"/>
      <c r="H23" s="16"/>
      <c r="I23" s="16"/>
      <c r="J23" s="12" t="str">
        <f aca="false">IF(OR(F23="",G23=""),"",ROUND(ABS(F23-G23)*IF(ISNUMBER(SEARCH("JPY",C23)),100,10000),1))</f>
        <v/>
      </c>
      <c r="K23" s="12" t="str">
        <f aca="false">IF(OR(F23="",I23="",E23=""),"",ROUND(IF(E23="Compra",(I23-F23),(F23-I23))*IF(ISNUMBER(SEARCH("JPY",C23)),100,10000),1))</f>
        <v/>
      </c>
      <c r="L23" s="17"/>
      <c r="M23" s="12" t="str">
        <f aca="false">IF(OR(J23="",K23="",J23=0),"",ROUND(K23/J23,2))</f>
        <v/>
      </c>
      <c r="N23" s="18" t="str">
        <f aca="false">IF(L23="","",IF(L23&gt;0,"Ganada",IF(L23&lt;0,"Perdida","Nula")))</f>
        <v/>
      </c>
      <c r="O23" s="15"/>
      <c r="P23" s="14"/>
    </row>
    <row r="24" customFormat="false" ht="15" hidden="false" customHeight="false" outlineLevel="0" collapsed="false">
      <c r="A24" s="12" t="str">
        <f aca="false">IF(B24="","",20)</f>
        <v/>
      </c>
      <c r="B24" s="13"/>
      <c r="C24" s="14"/>
      <c r="D24" s="15"/>
      <c r="E24" s="15"/>
      <c r="F24" s="16"/>
      <c r="G24" s="16"/>
      <c r="H24" s="16"/>
      <c r="I24" s="16"/>
      <c r="J24" s="12" t="str">
        <f aca="false">IF(OR(F24="",G24=""),"",ROUND(ABS(F24-G24)*IF(ISNUMBER(SEARCH("JPY",C24)),100,10000),1))</f>
        <v/>
      </c>
      <c r="K24" s="12" t="str">
        <f aca="false">IF(OR(F24="",I24="",E24=""),"",ROUND(IF(E24="Compra",(I24-F24),(F24-I24))*IF(ISNUMBER(SEARCH("JPY",C24)),100,10000),1))</f>
        <v/>
      </c>
      <c r="L24" s="17"/>
      <c r="M24" s="12" t="str">
        <f aca="false">IF(OR(J24="",K24="",J24=0),"",ROUND(K24/J24,2))</f>
        <v/>
      </c>
      <c r="N24" s="18" t="str">
        <f aca="false">IF(L24="","",IF(L24&gt;0,"Ganada",IF(L24&lt;0,"Perdida","Nula")))</f>
        <v/>
      </c>
      <c r="O24" s="15"/>
      <c r="P24" s="14"/>
    </row>
    <row r="25" customFormat="false" ht="15" hidden="false" customHeight="false" outlineLevel="0" collapsed="false">
      <c r="A25" s="12" t="str">
        <f aca="false">IF(B25="","",21)</f>
        <v/>
      </c>
      <c r="B25" s="13"/>
      <c r="C25" s="14"/>
      <c r="D25" s="15"/>
      <c r="E25" s="15"/>
      <c r="F25" s="16"/>
      <c r="G25" s="16"/>
      <c r="H25" s="16"/>
      <c r="I25" s="16"/>
      <c r="J25" s="12" t="str">
        <f aca="false">IF(OR(F25="",G25=""),"",ROUND(ABS(F25-G25)*IF(ISNUMBER(SEARCH("JPY",C25)),100,10000),1))</f>
        <v/>
      </c>
      <c r="K25" s="12" t="str">
        <f aca="false">IF(OR(F25="",I25="",E25=""),"",ROUND(IF(E25="Compra",(I25-F25),(F25-I25))*IF(ISNUMBER(SEARCH("JPY",C25)),100,10000),1))</f>
        <v/>
      </c>
      <c r="L25" s="17"/>
      <c r="M25" s="12" t="str">
        <f aca="false">IF(OR(J25="",K25="",J25=0),"",ROUND(K25/J25,2))</f>
        <v/>
      </c>
      <c r="N25" s="18" t="str">
        <f aca="false">IF(L25="","",IF(L25&gt;0,"Ganada",IF(L25&lt;0,"Perdida","Nula")))</f>
        <v/>
      </c>
      <c r="O25" s="15"/>
      <c r="P25" s="14"/>
    </row>
    <row r="26" customFormat="false" ht="15" hidden="false" customHeight="false" outlineLevel="0" collapsed="false">
      <c r="A26" s="12" t="str">
        <f aca="false">IF(B26="","",22)</f>
        <v/>
      </c>
      <c r="B26" s="13"/>
      <c r="C26" s="14"/>
      <c r="D26" s="15"/>
      <c r="E26" s="15"/>
      <c r="F26" s="16"/>
      <c r="G26" s="16"/>
      <c r="H26" s="16"/>
      <c r="I26" s="16"/>
      <c r="J26" s="12" t="str">
        <f aca="false">IF(OR(F26="",G26=""),"",ROUND(ABS(F26-G26)*IF(ISNUMBER(SEARCH("JPY",C26)),100,10000),1))</f>
        <v/>
      </c>
      <c r="K26" s="12" t="str">
        <f aca="false">IF(OR(F26="",I26="",E26=""),"",ROUND(IF(E26="Compra",(I26-F26),(F26-I26))*IF(ISNUMBER(SEARCH("JPY",C26)),100,10000),1))</f>
        <v/>
      </c>
      <c r="L26" s="17"/>
      <c r="M26" s="12" t="str">
        <f aca="false">IF(OR(J26="",K26="",J26=0),"",ROUND(K26/J26,2))</f>
        <v/>
      </c>
      <c r="N26" s="18" t="str">
        <f aca="false">IF(L26="","",IF(L26&gt;0,"Ganada",IF(L26&lt;0,"Perdida","Nula")))</f>
        <v/>
      </c>
      <c r="O26" s="15"/>
      <c r="P26" s="14"/>
    </row>
    <row r="27" customFormat="false" ht="15" hidden="false" customHeight="false" outlineLevel="0" collapsed="false">
      <c r="A27" s="12" t="str">
        <f aca="false">IF(B27="","",23)</f>
        <v/>
      </c>
      <c r="B27" s="13"/>
      <c r="C27" s="14"/>
      <c r="D27" s="15"/>
      <c r="E27" s="15"/>
      <c r="F27" s="16"/>
      <c r="G27" s="16"/>
      <c r="H27" s="16"/>
      <c r="I27" s="16"/>
      <c r="J27" s="12" t="str">
        <f aca="false">IF(OR(F27="",G27=""),"",ROUND(ABS(F27-G27)*IF(ISNUMBER(SEARCH("JPY",C27)),100,10000),1))</f>
        <v/>
      </c>
      <c r="K27" s="12" t="str">
        <f aca="false">IF(OR(F27="",I27="",E27=""),"",ROUND(IF(E27="Compra",(I27-F27),(F27-I27))*IF(ISNUMBER(SEARCH("JPY",C27)),100,10000),1))</f>
        <v/>
      </c>
      <c r="L27" s="17"/>
      <c r="M27" s="12" t="str">
        <f aca="false">IF(OR(J27="",K27="",J27=0),"",ROUND(K27/J27,2))</f>
        <v/>
      </c>
      <c r="N27" s="18" t="str">
        <f aca="false">IF(L27="","",IF(L27&gt;0,"Ganada",IF(L27&lt;0,"Perdida","Nula")))</f>
        <v/>
      </c>
      <c r="O27" s="15"/>
      <c r="P27" s="14"/>
    </row>
    <row r="28" customFormat="false" ht="15" hidden="false" customHeight="false" outlineLevel="0" collapsed="false">
      <c r="A28" s="12" t="str">
        <f aca="false">IF(B28="","",24)</f>
        <v/>
      </c>
      <c r="B28" s="13"/>
      <c r="C28" s="14"/>
      <c r="D28" s="15"/>
      <c r="E28" s="15"/>
      <c r="F28" s="16"/>
      <c r="G28" s="16"/>
      <c r="H28" s="16"/>
      <c r="I28" s="16"/>
      <c r="J28" s="12" t="str">
        <f aca="false">IF(OR(F28="",G28=""),"",ROUND(ABS(F28-G28)*IF(ISNUMBER(SEARCH("JPY",C28)),100,10000),1))</f>
        <v/>
      </c>
      <c r="K28" s="12" t="str">
        <f aca="false">IF(OR(F28="",I28="",E28=""),"",ROUND(IF(E28="Compra",(I28-F28),(F28-I28))*IF(ISNUMBER(SEARCH("JPY",C28)),100,10000),1))</f>
        <v/>
      </c>
      <c r="L28" s="17"/>
      <c r="M28" s="12" t="str">
        <f aca="false">IF(OR(J28="",K28="",J28=0),"",ROUND(K28/J28,2))</f>
        <v/>
      </c>
      <c r="N28" s="18" t="str">
        <f aca="false">IF(L28="","",IF(L28&gt;0,"Ganada",IF(L28&lt;0,"Perdida","Nula")))</f>
        <v/>
      </c>
      <c r="O28" s="15"/>
      <c r="P28" s="14"/>
    </row>
    <row r="29" customFormat="false" ht="15" hidden="false" customHeight="false" outlineLevel="0" collapsed="false">
      <c r="A29" s="12" t="str">
        <f aca="false">IF(B29="","",25)</f>
        <v/>
      </c>
      <c r="B29" s="13"/>
      <c r="C29" s="14"/>
      <c r="D29" s="15"/>
      <c r="E29" s="15"/>
      <c r="F29" s="16"/>
      <c r="G29" s="16"/>
      <c r="H29" s="16"/>
      <c r="I29" s="16"/>
      <c r="J29" s="12" t="str">
        <f aca="false">IF(OR(F29="",G29=""),"",ROUND(ABS(F29-G29)*IF(ISNUMBER(SEARCH("JPY",C29)),100,10000),1))</f>
        <v/>
      </c>
      <c r="K29" s="12" t="str">
        <f aca="false">IF(OR(F29="",I29="",E29=""),"",ROUND(IF(E29="Compra",(I29-F29),(F29-I29))*IF(ISNUMBER(SEARCH("JPY",C29)),100,10000),1))</f>
        <v/>
      </c>
      <c r="L29" s="17"/>
      <c r="M29" s="12" t="str">
        <f aca="false">IF(OR(J29="",K29="",J29=0),"",ROUND(K29/J29,2))</f>
        <v/>
      </c>
      <c r="N29" s="18" t="str">
        <f aca="false">IF(L29="","",IF(L29&gt;0,"Ganada",IF(L29&lt;0,"Perdida","Nula")))</f>
        <v/>
      </c>
      <c r="O29" s="15"/>
      <c r="P29" s="14"/>
    </row>
    <row r="30" customFormat="false" ht="15" hidden="false" customHeight="false" outlineLevel="0" collapsed="false">
      <c r="A30" s="12" t="str">
        <f aca="false">IF(B30="","",26)</f>
        <v/>
      </c>
      <c r="B30" s="13"/>
      <c r="C30" s="14"/>
      <c r="D30" s="15"/>
      <c r="E30" s="15"/>
      <c r="F30" s="16"/>
      <c r="G30" s="16"/>
      <c r="H30" s="16"/>
      <c r="I30" s="16"/>
      <c r="J30" s="12" t="str">
        <f aca="false">IF(OR(F30="",G30=""),"",ROUND(ABS(F30-G30)*IF(ISNUMBER(SEARCH("JPY",C30)),100,10000),1))</f>
        <v/>
      </c>
      <c r="K30" s="12" t="str">
        <f aca="false">IF(OR(F30="",I30="",E30=""),"",ROUND(IF(E30="Compra",(I30-F30),(F30-I30))*IF(ISNUMBER(SEARCH("JPY",C30)),100,10000),1))</f>
        <v/>
      </c>
      <c r="L30" s="17"/>
      <c r="M30" s="12" t="str">
        <f aca="false">IF(OR(J30="",K30="",J30=0),"",ROUND(K30/J30,2))</f>
        <v/>
      </c>
      <c r="N30" s="18" t="str">
        <f aca="false">IF(L30="","",IF(L30&gt;0,"Ganada",IF(L30&lt;0,"Perdida","Nula")))</f>
        <v/>
      </c>
      <c r="O30" s="15"/>
      <c r="P30" s="14"/>
    </row>
    <row r="31" customFormat="false" ht="15" hidden="false" customHeight="false" outlineLevel="0" collapsed="false">
      <c r="A31" s="12" t="str">
        <f aca="false">IF(B31="","",27)</f>
        <v/>
      </c>
      <c r="B31" s="13"/>
      <c r="C31" s="14"/>
      <c r="D31" s="15"/>
      <c r="E31" s="15"/>
      <c r="F31" s="16"/>
      <c r="G31" s="16"/>
      <c r="H31" s="16"/>
      <c r="I31" s="16"/>
      <c r="J31" s="12" t="str">
        <f aca="false">IF(OR(F31="",G31=""),"",ROUND(ABS(F31-G31)*IF(ISNUMBER(SEARCH("JPY",C31)),100,10000),1))</f>
        <v/>
      </c>
      <c r="K31" s="12" t="str">
        <f aca="false">IF(OR(F31="",I31="",E31=""),"",ROUND(IF(E31="Compra",(I31-F31),(F31-I31))*IF(ISNUMBER(SEARCH("JPY",C31)),100,10000),1))</f>
        <v/>
      </c>
      <c r="L31" s="17"/>
      <c r="M31" s="12" t="str">
        <f aca="false">IF(OR(J31="",K31="",J31=0),"",ROUND(K31/J31,2))</f>
        <v/>
      </c>
      <c r="N31" s="18" t="str">
        <f aca="false">IF(L31="","",IF(L31&gt;0,"Ganada",IF(L31&lt;0,"Perdida","Nula")))</f>
        <v/>
      </c>
      <c r="O31" s="15"/>
      <c r="P31" s="14"/>
    </row>
    <row r="32" customFormat="false" ht="15" hidden="false" customHeight="false" outlineLevel="0" collapsed="false">
      <c r="A32" s="12" t="str">
        <f aca="false">IF(B32="","",28)</f>
        <v/>
      </c>
      <c r="B32" s="13"/>
      <c r="C32" s="14"/>
      <c r="D32" s="15"/>
      <c r="E32" s="15"/>
      <c r="F32" s="16"/>
      <c r="G32" s="16"/>
      <c r="H32" s="16"/>
      <c r="I32" s="16"/>
      <c r="J32" s="12" t="str">
        <f aca="false">IF(OR(F32="",G32=""),"",ROUND(ABS(F32-G32)*IF(ISNUMBER(SEARCH("JPY",C32)),100,10000),1))</f>
        <v/>
      </c>
      <c r="K32" s="12" t="str">
        <f aca="false">IF(OR(F32="",I32="",E32=""),"",ROUND(IF(E32="Compra",(I32-F32),(F32-I32))*IF(ISNUMBER(SEARCH("JPY",C32)),100,10000),1))</f>
        <v/>
      </c>
      <c r="L32" s="17"/>
      <c r="M32" s="12" t="str">
        <f aca="false">IF(OR(J32="",K32="",J32=0),"",ROUND(K32/J32,2))</f>
        <v/>
      </c>
      <c r="N32" s="18" t="str">
        <f aca="false">IF(L32="","",IF(L32&gt;0,"Ganada",IF(L32&lt;0,"Perdida","Nula")))</f>
        <v/>
      </c>
      <c r="O32" s="15"/>
      <c r="P32" s="14"/>
    </row>
    <row r="33" customFormat="false" ht="15" hidden="false" customHeight="false" outlineLevel="0" collapsed="false">
      <c r="A33" s="12" t="str">
        <f aca="false">IF(B33="","",29)</f>
        <v/>
      </c>
      <c r="B33" s="13"/>
      <c r="C33" s="14"/>
      <c r="D33" s="15"/>
      <c r="E33" s="15"/>
      <c r="F33" s="16"/>
      <c r="G33" s="16"/>
      <c r="H33" s="16"/>
      <c r="I33" s="16"/>
      <c r="J33" s="12" t="str">
        <f aca="false">IF(OR(F33="",G33=""),"",ROUND(ABS(F33-G33)*IF(ISNUMBER(SEARCH("JPY",C33)),100,10000),1))</f>
        <v/>
      </c>
      <c r="K33" s="12" t="str">
        <f aca="false">IF(OR(F33="",I33="",E33=""),"",ROUND(IF(E33="Compra",(I33-F33),(F33-I33))*IF(ISNUMBER(SEARCH("JPY",C33)),100,10000),1))</f>
        <v/>
      </c>
      <c r="L33" s="17"/>
      <c r="M33" s="12" t="str">
        <f aca="false">IF(OR(J33="",K33="",J33=0),"",ROUND(K33/J33,2))</f>
        <v/>
      </c>
      <c r="N33" s="18" t="str">
        <f aca="false">IF(L33="","",IF(L33&gt;0,"Ganada",IF(L33&lt;0,"Perdida","Nula")))</f>
        <v/>
      </c>
      <c r="O33" s="15"/>
      <c r="P33" s="14"/>
    </row>
    <row r="34" customFormat="false" ht="15" hidden="false" customHeight="false" outlineLevel="0" collapsed="false">
      <c r="A34" s="12" t="str">
        <f aca="false">IF(B34="","",30)</f>
        <v/>
      </c>
      <c r="B34" s="13"/>
      <c r="C34" s="14"/>
      <c r="D34" s="15"/>
      <c r="E34" s="15"/>
      <c r="F34" s="16"/>
      <c r="G34" s="16"/>
      <c r="H34" s="16"/>
      <c r="I34" s="16"/>
      <c r="J34" s="12" t="str">
        <f aca="false">IF(OR(F34="",G34=""),"",ROUND(ABS(F34-G34)*IF(ISNUMBER(SEARCH("JPY",C34)),100,10000),1))</f>
        <v/>
      </c>
      <c r="K34" s="12" t="str">
        <f aca="false">IF(OR(F34="",I34="",E34=""),"",ROUND(IF(E34="Compra",(I34-F34),(F34-I34))*IF(ISNUMBER(SEARCH("JPY",C34)),100,10000),1))</f>
        <v/>
      </c>
      <c r="L34" s="17"/>
      <c r="M34" s="12" t="str">
        <f aca="false">IF(OR(J34="",K34="",J34=0),"",ROUND(K34/J34,2))</f>
        <v/>
      </c>
      <c r="N34" s="18" t="str">
        <f aca="false">IF(L34="","",IF(L34&gt;0,"Ganada",IF(L34&lt;0,"Perdida","Nula")))</f>
        <v/>
      </c>
      <c r="O34" s="15"/>
      <c r="P34" s="14"/>
    </row>
    <row r="35" customFormat="false" ht="15" hidden="false" customHeight="false" outlineLevel="0" collapsed="false">
      <c r="A35" s="12" t="str">
        <f aca="false">IF(B35="","",31)</f>
        <v/>
      </c>
      <c r="B35" s="13"/>
      <c r="C35" s="14"/>
      <c r="D35" s="15"/>
      <c r="E35" s="15"/>
      <c r="F35" s="16"/>
      <c r="G35" s="16"/>
      <c r="H35" s="16"/>
      <c r="I35" s="16"/>
      <c r="J35" s="12" t="str">
        <f aca="false">IF(OR(F35="",G35=""),"",ROUND(ABS(F35-G35)*IF(ISNUMBER(SEARCH("JPY",C35)),100,10000),1))</f>
        <v/>
      </c>
      <c r="K35" s="12" t="str">
        <f aca="false">IF(OR(F35="",I35="",E35=""),"",ROUND(IF(E35="Compra",(I35-F35),(F35-I35))*IF(ISNUMBER(SEARCH("JPY",C35)),100,10000),1))</f>
        <v/>
      </c>
      <c r="L35" s="17"/>
      <c r="M35" s="12" t="str">
        <f aca="false">IF(OR(J35="",K35="",J35=0),"",ROUND(K35/J35,2))</f>
        <v/>
      </c>
      <c r="N35" s="18" t="str">
        <f aca="false">IF(L35="","",IF(L35&gt;0,"Ganada",IF(L35&lt;0,"Perdida","Nula")))</f>
        <v/>
      </c>
      <c r="O35" s="15"/>
      <c r="P35" s="14"/>
    </row>
    <row r="36" customFormat="false" ht="15" hidden="false" customHeight="false" outlineLevel="0" collapsed="false">
      <c r="A36" s="12" t="str">
        <f aca="false">IF(B36="","",32)</f>
        <v/>
      </c>
      <c r="B36" s="13"/>
      <c r="C36" s="14"/>
      <c r="D36" s="15"/>
      <c r="E36" s="15"/>
      <c r="F36" s="16"/>
      <c r="G36" s="16"/>
      <c r="H36" s="16"/>
      <c r="I36" s="16"/>
      <c r="J36" s="12" t="str">
        <f aca="false">IF(OR(F36="",G36=""),"",ROUND(ABS(F36-G36)*IF(ISNUMBER(SEARCH("JPY",C36)),100,10000),1))</f>
        <v/>
      </c>
      <c r="K36" s="12" t="str">
        <f aca="false">IF(OR(F36="",I36="",E36=""),"",ROUND(IF(E36="Compra",(I36-F36),(F36-I36))*IF(ISNUMBER(SEARCH("JPY",C36)),100,10000),1))</f>
        <v/>
      </c>
      <c r="L36" s="17"/>
      <c r="M36" s="12" t="str">
        <f aca="false">IF(OR(J36="",K36="",J36=0),"",ROUND(K36/J36,2))</f>
        <v/>
      </c>
      <c r="N36" s="18" t="str">
        <f aca="false">IF(L36="","",IF(L36&gt;0,"Ganada",IF(L36&lt;0,"Perdida","Nula")))</f>
        <v/>
      </c>
      <c r="O36" s="15"/>
      <c r="P36" s="14"/>
    </row>
    <row r="37" customFormat="false" ht="15" hidden="false" customHeight="false" outlineLevel="0" collapsed="false">
      <c r="A37" s="12" t="str">
        <f aca="false">IF(B37="","",33)</f>
        <v/>
      </c>
      <c r="B37" s="13"/>
      <c r="C37" s="14"/>
      <c r="D37" s="15"/>
      <c r="E37" s="15"/>
      <c r="F37" s="16"/>
      <c r="G37" s="16"/>
      <c r="H37" s="16"/>
      <c r="I37" s="16"/>
      <c r="J37" s="12" t="str">
        <f aca="false">IF(OR(F37="",G37=""),"",ROUND(ABS(F37-G37)*IF(ISNUMBER(SEARCH("JPY",C37)),100,10000),1))</f>
        <v/>
      </c>
      <c r="K37" s="12" t="str">
        <f aca="false">IF(OR(F37="",I37="",E37=""),"",ROUND(IF(E37="Compra",(I37-F37),(F37-I37))*IF(ISNUMBER(SEARCH("JPY",C37)),100,10000),1))</f>
        <v/>
      </c>
      <c r="L37" s="17"/>
      <c r="M37" s="12" t="str">
        <f aca="false">IF(OR(J37="",K37="",J37=0),"",ROUND(K37/J37,2))</f>
        <v/>
      </c>
      <c r="N37" s="18" t="str">
        <f aca="false">IF(L37="","",IF(L37&gt;0,"Ganada",IF(L37&lt;0,"Perdida","Nula")))</f>
        <v/>
      </c>
      <c r="O37" s="15"/>
      <c r="P37" s="14"/>
    </row>
    <row r="38" customFormat="false" ht="15" hidden="false" customHeight="false" outlineLevel="0" collapsed="false">
      <c r="A38" s="12" t="str">
        <f aca="false">IF(B38="","",34)</f>
        <v/>
      </c>
      <c r="B38" s="13"/>
      <c r="C38" s="14"/>
      <c r="D38" s="15"/>
      <c r="E38" s="15"/>
      <c r="F38" s="16"/>
      <c r="G38" s="16"/>
      <c r="H38" s="16"/>
      <c r="I38" s="16"/>
      <c r="J38" s="12" t="str">
        <f aca="false">IF(OR(F38="",G38=""),"",ROUND(ABS(F38-G38)*IF(ISNUMBER(SEARCH("JPY",C38)),100,10000),1))</f>
        <v/>
      </c>
      <c r="K38" s="12" t="str">
        <f aca="false">IF(OR(F38="",I38="",E38=""),"",ROUND(IF(E38="Compra",(I38-F38),(F38-I38))*IF(ISNUMBER(SEARCH("JPY",C38)),100,10000),1))</f>
        <v/>
      </c>
      <c r="L38" s="17"/>
      <c r="M38" s="12" t="str">
        <f aca="false">IF(OR(J38="",K38="",J38=0),"",ROUND(K38/J38,2))</f>
        <v/>
      </c>
      <c r="N38" s="18" t="str">
        <f aca="false">IF(L38="","",IF(L38&gt;0,"Ganada",IF(L38&lt;0,"Perdida","Nula")))</f>
        <v/>
      </c>
      <c r="O38" s="15"/>
      <c r="P38" s="14"/>
    </row>
    <row r="39" customFormat="false" ht="15" hidden="false" customHeight="false" outlineLevel="0" collapsed="false">
      <c r="A39" s="12" t="str">
        <f aca="false">IF(B39="","",35)</f>
        <v/>
      </c>
      <c r="B39" s="13"/>
      <c r="C39" s="14"/>
      <c r="D39" s="15"/>
      <c r="E39" s="15"/>
      <c r="F39" s="16"/>
      <c r="G39" s="16"/>
      <c r="H39" s="16"/>
      <c r="I39" s="16"/>
      <c r="J39" s="12" t="str">
        <f aca="false">IF(OR(F39="",G39=""),"",ROUND(ABS(F39-G39)*IF(ISNUMBER(SEARCH("JPY",C39)),100,10000),1))</f>
        <v/>
      </c>
      <c r="K39" s="12" t="str">
        <f aca="false">IF(OR(F39="",I39="",E39=""),"",ROUND(IF(E39="Compra",(I39-F39),(F39-I39))*IF(ISNUMBER(SEARCH("JPY",C39)),100,10000),1))</f>
        <v/>
      </c>
      <c r="L39" s="17"/>
      <c r="M39" s="12" t="str">
        <f aca="false">IF(OR(J39="",K39="",J39=0),"",ROUND(K39/J39,2))</f>
        <v/>
      </c>
      <c r="N39" s="18" t="str">
        <f aca="false">IF(L39="","",IF(L39&gt;0,"Ganada",IF(L39&lt;0,"Perdida","Nula")))</f>
        <v/>
      </c>
      <c r="O39" s="15"/>
      <c r="P39" s="14"/>
    </row>
    <row r="40" customFormat="false" ht="15" hidden="false" customHeight="false" outlineLevel="0" collapsed="false">
      <c r="A40" s="12" t="str">
        <f aca="false">IF(B40="","",36)</f>
        <v/>
      </c>
      <c r="B40" s="13"/>
      <c r="C40" s="14"/>
      <c r="D40" s="15"/>
      <c r="E40" s="15"/>
      <c r="F40" s="16"/>
      <c r="G40" s="16"/>
      <c r="H40" s="16"/>
      <c r="I40" s="16"/>
      <c r="J40" s="12" t="str">
        <f aca="false">IF(OR(F40="",G40=""),"",ROUND(ABS(F40-G40)*IF(ISNUMBER(SEARCH("JPY",C40)),100,10000),1))</f>
        <v/>
      </c>
      <c r="K40" s="12" t="str">
        <f aca="false">IF(OR(F40="",I40="",E40=""),"",ROUND(IF(E40="Compra",(I40-F40),(F40-I40))*IF(ISNUMBER(SEARCH("JPY",C40)),100,10000),1))</f>
        <v/>
      </c>
      <c r="L40" s="17"/>
      <c r="M40" s="12" t="str">
        <f aca="false">IF(OR(J40="",K40="",J40=0),"",ROUND(K40/J40,2))</f>
        <v/>
      </c>
      <c r="N40" s="18" t="str">
        <f aca="false">IF(L40="","",IF(L40&gt;0,"Ganada",IF(L40&lt;0,"Perdida","Nula")))</f>
        <v/>
      </c>
      <c r="O40" s="15"/>
      <c r="P40" s="14"/>
    </row>
    <row r="41" customFormat="false" ht="15" hidden="false" customHeight="false" outlineLevel="0" collapsed="false">
      <c r="A41" s="12" t="str">
        <f aca="false">IF(B41="","",37)</f>
        <v/>
      </c>
      <c r="B41" s="13"/>
      <c r="C41" s="14"/>
      <c r="D41" s="15"/>
      <c r="E41" s="15"/>
      <c r="F41" s="16"/>
      <c r="G41" s="16"/>
      <c r="H41" s="16"/>
      <c r="I41" s="16"/>
      <c r="J41" s="12" t="str">
        <f aca="false">IF(OR(F41="",G41=""),"",ROUND(ABS(F41-G41)*IF(ISNUMBER(SEARCH("JPY",C41)),100,10000),1))</f>
        <v/>
      </c>
      <c r="K41" s="12" t="str">
        <f aca="false">IF(OR(F41="",I41="",E41=""),"",ROUND(IF(E41="Compra",(I41-F41),(F41-I41))*IF(ISNUMBER(SEARCH("JPY",C41)),100,10000),1))</f>
        <v/>
      </c>
      <c r="L41" s="17"/>
      <c r="M41" s="12" t="str">
        <f aca="false">IF(OR(J41="",K41="",J41=0),"",ROUND(K41/J41,2))</f>
        <v/>
      </c>
      <c r="N41" s="18" t="str">
        <f aca="false">IF(L41="","",IF(L41&gt;0,"Ganada",IF(L41&lt;0,"Perdida","Nula")))</f>
        <v/>
      </c>
      <c r="O41" s="15"/>
      <c r="P41" s="14"/>
    </row>
    <row r="42" customFormat="false" ht="15" hidden="false" customHeight="false" outlineLevel="0" collapsed="false">
      <c r="A42" s="12" t="str">
        <f aca="false">IF(B42="","",38)</f>
        <v/>
      </c>
      <c r="B42" s="13"/>
      <c r="C42" s="14"/>
      <c r="D42" s="15"/>
      <c r="E42" s="15"/>
      <c r="F42" s="16"/>
      <c r="G42" s="16"/>
      <c r="H42" s="16"/>
      <c r="I42" s="16"/>
      <c r="J42" s="12" t="str">
        <f aca="false">IF(OR(F42="",G42=""),"",ROUND(ABS(F42-G42)*IF(ISNUMBER(SEARCH("JPY",C42)),100,10000),1))</f>
        <v/>
      </c>
      <c r="K42" s="12" t="str">
        <f aca="false">IF(OR(F42="",I42="",E42=""),"",ROUND(IF(E42="Compra",(I42-F42),(F42-I42))*IF(ISNUMBER(SEARCH("JPY",C42)),100,10000),1))</f>
        <v/>
      </c>
      <c r="L42" s="17"/>
      <c r="M42" s="12" t="str">
        <f aca="false">IF(OR(J42="",K42="",J42=0),"",ROUND(K42/J42,2))</f>
        <v/>
      </c>
      <c r="N42" s="18" t="str">
        <f aca="false">IF(L42="","",IF(L42&gt;0,"Ganada",IF(L42&lt;0,"Perdida","Nula")))</f>
        <v/>
      </c>
      <c r="O42" s="15"/>
      <c r="P42" s="14"/>
    </row>
    <row r="43" customFormat="false" ht="15" hidden="false" customHeight="false" outlineLevel="0" collapsed="false">
      <c r="A43" s="12" t="str">
        <f aca="false">IF(B43="","",39)</f>
        <v/>
      </c>
      <c r="B43" s="13"/>
      <c r="C43" s="14"/>
      <c r="D43" s="15"/>
      <c r="E43" s="15"/>
      <c r="F43" s="16"/>
      <c r="G43" s="16"/>
      <c r="H43" s="16"/>
      <c r="I43" s="16"/>
      <c r="J43" s="12" t="str">
        <f aca="false">IF(OR(F43="",G43=""),"",ROUND(ABS(F43-G43)*IF(ISNUMBER(SEARCH("JPY",C43)),100,10000),1))</f>
        <v/>
      </c>
      <c r="K43" s="12" t="str">
        <f aca="false">IF(OR(F43="",I43="",E43=""),"",ROUND(IF(E43="Compra",(I43-F43),(F43-I43))*IF(ISNUMBER(SEARCH("JPY",C43)),100,10000),1))</f>
        <v/>
      </c>
      <c r="L43" s="17"/>
      <c r="M43" s="12" t="str">
        <f aca="false">IF(OR(J43="",K43="",J43=0),"",ROUND(K43/J43,2))</f>
        <v/>
      </c>
      <c r="N43" s="18" t="str">
        <f aca="false">IF(L43="","",IF(L43&gt;0,"Ganada",IF(L43&lt;0,"Perdida","Nula")))</f>
        <v/>
      </c>
      <c r="O43" s="15"/>
      <c r="P43" s="14"/>
    </row>
    <row r="44" customFormat="false" ht="15" hidden="false" customHeight="false" outlineLevel="0" collapsed="false">
      <c r="A44" s="12" t="str">
        <f aca="false">IF(B44="","",40)</f>
        <v/>
      </c>
      <c r="B44" s="13"/>
      <c r="C44" s="14"/>
      <c r="D44" s="15"/>
      <c r="E44" s="15"/>
      <c r="F44" s="16"/>
      <c r="G44" s="16"/>
      <c r="H44" s="16"/>
      <c r="I44" s="16"/>
      <c r="J44" s="12" t="str">
        <f aca="false">IF(OR(F44="",G44=""),"",ROUND(ABS(F44-G44)*IF(ISNUMBER(SEARCH("JPY",C44)),100,10000),1))</f>
        <v/>
      </c>
      <c r="K44" s="12" t="str">
        <f aca="false">IF(OR(F44="",I44="",E44=""),"",ROUND(IF(E44="Compra",(I44-F44),(F44-I44))*IF(ISNUMBER(SEARCH("JPY",C44)),100,10000),1))</f>
        <v/>
      </c>
      <c r="L44" s="17"/>
      <c r="M44" s="12" t="str">
        <f aca="false">IF(OR(J44="",K44="",J44=0),"",ROUND(K44/J44,2))</f>
        <v/>
      </c>
      <c r="N44" s="18" t="str">
        <f aca="false">IF(L44="","",IF(L44&gt;0,"Ganada",IF(L44&lt;0,"Perdida","Nula")))</f>
        <v/>
      </c>
      <c r="O44" s="15"/>
      <c r="P44" s="14"/>
    </row>
    <row r="45" customFormat="false" ht="15" hidden="false" customHeight="false" outlineLevel="0" collapsed="false">
      <c r="A45" s="12" t="str">
        <f aca="false">IF(B45="","",41)</f>
        <v/>
      </c>
      <c r="B45" s="13"/>
      <c r="C45" s="14"/>
      <c r="D45" s="15"/>
      <c r="E45" s="15"/>
      <c r="F45" s="16"/>
      <c r="G45" s="16"/>
      <c r="H45" s="16"/>
      <c r="I45" s="16"/>
      <c r="J45" s="12" t="str">
        <f aca="false">IF(OR(F45="",G45=""),"",ROUND(ABS(F45-G45)*IF(ISNUMBER(SEARCH("JPY",C45)),100,10000),1))</f>
        <v/>
      </c>
      <c r="K45" s="12" t="str">
        <f aca="false">IF(OR(F45="",I45="",E45=""),"",ROUND(IF(E45="Compra",(I45-F45),(F45-I45))*IF(ISNUMBER(SEARCH("JPY",C45)),100,10000),1))</f>
        <v/>
      </c>
      <c r="L45" s="17"/>
      <c r="M45" s="12" t="str">
        <f aca="false">IF(OR(J45="",K45="",J45=0),"",ROUND(K45/J45,2))</f>
        <v/>
      </c>
      <c r="N45" s="18" t="str">
        <f aca="false">IF(L45="","",IF(L45&gt;0,"Ganada",IF(L45&lt;0,"Perdida","Nula")))</f>
        <v/>
      </c>
      <c r="O45" s="15"/>
      <c r="P45" s="14"/>
    </row>
    <row r="46" customFormat="false" ht="15" hidden="false" customHeight="false" outlineLevel="0" collapsed="false">
      <c r="A46" s="12" t="str">
        <f aca="false">IF(B46="","",42)</f>
        <v/>
      </c>
      <c r="B46" s="13"/>
      <c r="C46" s="14"/>
      <c r="D46" s="15"/>
      <c r="E46" s="15"/>
      <c r="F46" s="16"/>
      <c r="G46" s="16"/>
      <c r="H46" s="16"/>
      <c r="I46" s="16"/>
      <c r="J46" s="12" t="str">
        <f aca="false">IF(OR(F46="",G46=""),"",ROUND(ABS(F46-G46)*IF(ISNUMBER(SEARCH("JPY",C46)),100,10000),1))</f>
        <v/>
      </c>
      <c r="K46" s="12" t="str">
        <f aca="false">IF(OR(F46="",I46="",E46=""),"",ROUND(IF(E46="Compra",(I46-F46),(F46-I46))*IF(ISNUMBER(SEARCH("JPY",C46)),100,10000),1))</f>
        <v/>
      </c>
      <c r="L46" s="17"/>
      <c r="M46" s="12" t="str">
        <f aca="false">IF(OR(J46="",K46="",J46=0),"",ROUND(K46/J46,2))</f>
        <v/>
      </c>
      <c r="N46" s="18" t="str">
        <f aca="false">IF(L46="","",IF(L46&gt;0,"Ganada",IF(L46&lt;0,"Perdida","Nula")))</f>
        <v/>
      </c>
      <c r="O46" s="15"/>
      <c r="P46" s="14"/>
    </row>
    <row r="47" customFormat="false" ht="15" hidden="false" customHeight="false" outlineLevel="0" collapsed="false">
      <c r="A47" s="12" t="str">
        <f aca="false">IF(B47="","",43)</f>
        <v/>
      </c>
      <c r="B47" s="13"/>
      <c r="C47" s="14"/>
      <c r="D47" s="15"/>
      <c r="E47" s="15"/>
      <c r="F47" s="16"/>
      <c r="G47" s="16"/>
      <c r="H47" s="16"/>
      <c r="I47" s="16"/>
      <c r="J47" s="12" t="str">
        <f aca="false">IF(OR(F47="",G47=""),"",ROUND(ABS(F47-G47)*IF(ISNUMBER(SEARCH("JPY",C47)),100,10000),1))</f>
        <v/>
      </c>
      <c r="K47" s="12" t="str">
        <f aca="false">IF(OR(F47="",I47="",E47=""),"",ROUND(IF(E47="Compra",(I47-F47),(F47-I47))*IF(ISNUMBER(SEARCH("JPY",C47)),100,10000),1))</f>
        <v/>
      </c>
      <c r="L47" s="17"/>
      <c r="M47" s="12" t="str">
        <f aca="false">IF(OR(J47="",K47="",J47=0),"",ROUND(K47/J47,2))</f>
        <v/>
      </c>
      <c r="N47" s="18" t="str">
        <f aca="false">IF(L47="","",IF(L47&gt;0,"Ganada",IF(L47&lt;0,"Perdida","Nula")))</f>
        <v/>
      </c>
      <c r="O47" s="15"/>
      <c r="P47" s="14"/>
    </row>
    <row r="48" customFormat="false" ht="15" hidden="false" customHeight="false" outlineLevel="0" collapsed="false">
      <c r="A48" s="12" t="str">
        <f aca="false">IF(B48="","",44)</f>
        <v/>
      </c>
      <c r="B48" s="13"/>
      <c r="C48" s="14"/>
      <c r="D48" s="15"/>
      <c r="E48" s="15"/>
      <c r="F48" s="16"/>
      <c r="G48" s="16"/>
      <c r="H48" s="16"/>
      <c r="I48" s="16"/>
      <c r="J48" s="12" t="str">
        <f aca="false">IF(OR(F48="",G48=""),"",ROUND(ABS(F48-G48)*IF(ISNUMBER(SEARCH("JPY",C48)),100,10000),1))</f>
        <v/>
      </c>
      <c r="K48" s="12" t="str">
        <f aca="false">IF(OR(F48="",I48="",E48=""),"",ROUND(IF(E48="Compra",(I48-F48),(F48-I48))*IF(ISNUMBER(SEARCH("JPY",C48)),100,10000),1))</f>
        <v/>
      </c>
      <c r="L48" s="17"/>
      <c r="M48" s="12" t="str">
        <f aca="false">IF(OR(J48="",K48="",J48=0),"",ROUND(K48/J48,2))</f>
        <v/>
      </c>
      <c r="N48" s="18" t="str">
        <f aca="false">IF(L48="","",IF(L48&gt;0,"Ganada",IF(L48&lt;0,"Perdida","Nula")))</f>
        <v/>
      </c>
      <c r="O48" s="15"/>
      <c r="P48" s="14"/>
    </row>
    <row r="49" customFormat="false" ht="15" hidden="false" customHeight="false" outlineLevel="0" collapsed="false">
      <c r="A49" s="12" t="str">
        <f aca="false">IF(B49="","",45)</f>
        <v/>
      </c>
      <c r="B49" s="13"/>
      <c r="C49" s="14"/>
      <c r="D49" s="15"/>
      <c r="E49" s="15"/>
      <c r="F49" s="16"/>
      <c r="G49" s="16"/>
      <c r="H49" s="16"/>
      <c r="I49" s="16"/>
      <c r="J49" s="12" t="str">
        <f aca="false">IF(OR(F49="",G49=""),"",ROUND(ABS(F49-G49)*IF(ISNUMBER(SEARCH("JPY",C49)),100,10000),1))</f>
        <v/>
      </c>
      <c r="K49" s="12" t="str">
        <f aca="false">IF(OR(F49="",I49="",E49=""),"",ROUND(IF(E49="Compra",(I49-F49),(F49-I49))*IF(ISNUMBER(SEARCH("JPY",C49)),100,10000),1))</f>
        <v/>
      </c>
      <c r="L49" s="17"/>
      <c r="M49" s="12" t="str">
        <f aca="false">IF(OR(J49="",K49="",J49=0),"",ROUND(K49/J49,2))</f>
        <v/>
      </c>
      <c r="N49" s="18" t="str">
        <f aca="false">IF(L49="","",IF(L49&gt;0,"Ganada",IF(L49&lt;0,"Perdida","Nula")))</f>
        <v/>
      </c>
      <c r="O49" s="15"/>
      <c r="P49" s="14"/>
    </row>
    <row r="50" customFormat="false" ht="15" hidden="false" customHeight="false" outlineLevel="0" collapsed="false">
      <c r="A50" s="12" t="str">
        <f aca="false">IF(B50="","",46)</f>
        <v/>
      </c>
      <c r="B50" s="13"/>
      <c r="C50" s="14"/>
      <c r="D50" s="15"/>
      <c r="E50" s="15"/>
      <c r="F50" s="16"/>
      <c r="G50" s="16"/>
      <c r="H50" s="16"/>
      <c r="I50" s="16"/>
      <c r="J50" s="12" t="str">
        <f aca="false">IF(OR(F50="",G50=""),"",ROUND(ABS(F50-G50)*IF(ISNUMBER(SEARCH("JPY",C50)),100,10000),1))</f>
        <v/>
      </c>
      <c r="K50" s="12" t="str">
        <f aca="false">IF(OR(F50="",I50="",E50=""),"",ROUND(IF(E50="Compra",(I50-F50),(F50-I50))*IF(ISNUMBER(SEARCH("JPY",C50)),100,10000),1))</f>
        <v/>
      </c>
      <c r="L50" s="17"/>
      <c r="M50" s="12" t="str">
        <f aca="false">IF(OR(J50="",K50="",J50=0),"",ROUND(K50/J50,2))</f>
        <v/>
      </c>
      <c r="N50" s="18" t="str">
        <f aca="false">IF(L50="","",IF(L50&gt;0,"Ganada",IF(L50&lt;0,"Perdida","Nula")))</f>
        <v/>
      </c>
      <c r="O50" s="15"/>
      <c r="P50" s="14"/>
    </row>
    <row r="51" customFormat="false" ht="15" hidden="false" customHeight="false" outlineLevel="0" collapsed="false">
      <c r="A51" s="12" t="str">
        <f aca="false">IF(B51="","",47)</f>
        <v/>
      </c>
      <c r="B51" s="13"/>
      <c r="C51" s="14"/>
      <c r="D51" s="15"/>
      <c r="E51" s="15"/>
      <c r="F51" s="16"/>
      <c r="G51" s="16"/>
      <c r="H51" s="16"/>
      <c r="I51" s="16"/>
      <c r="J51" s="12" t="str">
        <f aca="false">IF(OR(F51="",G51=""),"",ROUND(ABS(F51-G51)*IF(ISNUMBER(SEARCH("JPY",C51)),100,10000),1))</f>
        <v/>
      </c>
      <c r="K51" s="12" t="str">
        <f aca="false">IF(OR(F51="",I51="",E51=""),"",ROUND(IF(E51="Compra",(I51-F51),(F51-I51))*IF(ISNUMBER(SEARCH("JPY",C51)),100,10000),1))</f>
        <v/>
      </c>
      <c r="L51" s="17"/>
      <c r="M51" s="12" t="str">
        <f aca="false">IF(OR(J51="",K51="",J51=0),"",ROUND(K51/J51,2))</f>
        <v/>
      </c>
      <c r="N51" s="18" t="str">
        <f aca="false">IF(L51="","",IF(L51&gt;0,"Ganada",IF(L51&lt;0,"Perdida","Nula")))</f>
        <v/>
      </c>
      <c r="O51" s="15"/>
      <c r="P51" s="14"/>
    </row>
    <row r="52" customFormat="false" ht="15" hidden="false" customHeight="false" outlineLevel="0" collapsed="false">
      <c r="A52" s="12" t="str">
        <f aca="false">IF(B52="","",48)</f>
        <v/>
      </c>
      <c r="B52" s="13"/>
      <c r="C52" s="14"/>
      <c r="D52" s="15"/>
      <c r="E52" s="15"/>
      <c r="F52" s="16"/>
      <c r="G52" s="16"/>
      <c r="H52" s="16"/>
      <c r="I52" s="16"/>
      <c r="J52" s="12" t="str">
        <f aca="false">IF(OR(F52="",G52=""),"",ROUND(ABS(F52-G52)*IF(ISNUMBER(SEARCH("JPY",C52)),100,10000),1))</f>
        <v/>
      </c>
      <c r="K52" s="12" t="str">
        <f aca="false">IF(OR(F52="",I52="",E52=""),"",ROUND(IF(E52="Compra",(I52-F52),(F52-I52))*IF(ISNUMBER(SEARCH("JPY",C52)),100,10000),1))</f>
        <v/>
      </c>
      <c r="L52" s="17"/>
      <c r="M52" s="12" t="str">
        <f aca="false">IF(OR(J52="",K52="",J52=0),"",ROUND(K52/J52,2))</f>
        <v/>
      </c>
      <c r="N52" s="18" t="str">
        <f aca="false">IF(L52="","",IF(L52&gt;0,"Ganada",IF(L52&lt;0,"Perdida","Nula")))</f>
        <v/>
      </c>
      <c r="O52" s="15"/>
      <c r="P52" s="14"/>
    </row>
    <row r="53" customFormat="false" ht="15" hidden="false" customHeight="false" outlineLevel="0" collapsed="false">
      <c r="A53" s="12" t="str">
        <f aca="false">IF(B53="","",49)</f>
        <v/>
      </c>
      <c r="B53" s="13"/>
      <c r="C53" s="14"/>
      <c r="D53" s="15"/>
      <c r="E53" s="15"/>
      <c r="F53" s="16"/>
      <c r="G53" s="16"/>
      <c r="H53" s="16"/>
      <c r="I53" s="16"/>
      <c r="J53" s="12" t="str">
        <f aca="false">IF(OR(F53="",G53=""),"",ROUND(ABS(F53-G53)*IF(ISNUMBER(SEARCH("JPY",C53)),100,10000),1))</f>
        <v/>
      </c>
      <c r="K53" s="12" t="str">
        <f aca="false">IF(OR(F53="",I53="",E53=""),"",ROUND(IF(E53="Compra",(I53-F53),(F53-I53))*IF(ISNUMBER(SEARCH("JPY",C53)),100,10000),1))</f>
        <v/>
      </c>
      <c r="L53" s="17"/>
      <c r="M53" s="12" t="str">
        <f aca="false">IF(OR(J53="",K53="",J53=0),"",ROUND(K53/J53,2))</f>
        <v/>
      </c>
      <c r="N53" s="18" t="str">
        <f aca="false">IF(L53="","",IF(L53&gt;0,"Ganada",IF(L53&lt;0,"Perdida","Nula")))</f>
        <v/>
      </c>
      <c r="O53" s="15"/>
      <c r="P53" s="14"/>
    </row>
    <row r="54" customFormat="false" ht="15" hidden="false" customHeight="false" outlineLevel="0" collapsed="false">
      <c r="A54" s="12" t="str">
        <f aca="false">IF(B54="","",50)</f>
        <v/>
      </c>
      <c r="B54" s="13"/>
      <c r="C54" s="14"/>
      <c r="D54" s="15"/>
      <c r="E54" s="15"/>
      <c r="F54" s="16"/>
      <c r="G54" s="16"/>
      <c r="H54" s="16"/>
      <c r="I54" s="16"/>
      <c r="J54" s="12" t="str">
        <f aca="false">IF(OR(F54="",G54=""),"",ROUND(ABS(F54-G54)*IF(ISNUMBER(SEARCH("JPY",C54)),100,10000),1))</f>
        <v/>
      </c>
      <c r="K54" s="12" t="str">
        <f aca="false">IF(OR(F54="",I54="",E54=""),"",ROUND(IF(E54="Compra",(I54-F54),(F54-I54))*IF(ISNUMBER(SEARCH("JPY",C54)),100,10000),1))</f>
        <v/>
      </c>
      <c r="L54" s="17"/>
      <c r="M54" s="12" t="str">
        <f aca="false">IF(OR(J54="",K54="",J54=0),"",ROUND(K54/J54,2))</f>
        <v/>
      </c>
      <c r="N54" s="18" t="str">
        <f aca="false">IF(L54="","",IF(L54&gt;0,"Ganada",IF(L54&lt;0,"Perdida","Nula")))</f>
        <v/>
      </c>
      <c r="O54" s="15"/>
      <c r="P54" s="14"/>
    </row>
    <row r="55" customFormat="false" ht="15" hidden="false" customHeight="false" outlineLevel="0" collapsed="false">
      <c r="A55" s="12" t="str">
        <f aca="false">IF(B55="","",51)</f>
        <v/>
      </c>
      <c r="B55" s="13"/>
      <c r="C55" s="14"/>
      <c r="D55" s="15"/>
      <c r="E55" s="15"/>
      <c r="F55" s="16"/>
      <c r="G55" s="16"/>
      <c r="H55" s="16"/>
      <c r="I55" s="16"/>
      <c r="J55" s="12" t="str">
        <f aca="false">IF(OR(F55="",G55=""),"",ROUND(ABS(F55-G55)*IF(ISNUMBER(SEARCH("JPY",C55)),100,10000),1))</f>
        <v/>
      </c>
      <c r="K55" s="12" t="str">
        <f aca="false">IF(OR(F55="",I55="",E55=""),"",ROUND(IF(E55="Compra",(I55-F55),(F55-I55))*IF(ISNUMBER(SEARCH("JPY",C55)),100,10000),1))</f>
        <v/>
      </c>
      <c r="L55" s="17"/>
      <c r="M55" s="12" t="str">
        <f aca="false">IF(OR(J55="",K55="",J55=0),"",ROUND(K55/J55,2))</f>
        <v/>
      </c>
      <c r="N55" s="18" t="str">
        <f aca="false">IF(L55="","",IF(L55&gt;0,"Ganada",IF(L55&lt;0,"Perdida","Nula")))</f>
        <v/>
      </c>
      <c r="O55" s="15"/>
      <c r="P55" s="14"/>
    </row>
    <row r="56" customFormat="false" ht="15" hidden="false" customHeight="false" outlineLevel="0" collapsed="false">
      <c r="A56" s="12" t="str">
        <f aca="false">IF(B56="","",52)</f>
        <v/>
      </c>
      <c r="B56" s="13"/>
      <c r="C56" s="14"/>
      <c r="D56" s="15"/>
      <c r="E56" s="15"/>
      <c r="F56" s="16"/>
      <c r="G56" s="16"/>
      <c r="H56" s="16"/>
      <c r="I56" s="16"/>
      <c r="J56" s="12" t="str">
        <f aca="false">IF(OR(F56="",G56=""),"",ROUND(ABS(F56-G56)*IF(ISNUMBER(SEARCH("JPY",C56)),100,10000),1))</f>
        <v/>
      </c>
      <c r="K56" s="12" t="str">
        <f aca="false">IF(OR(F56="",I56="",E56=""),"",ROUND(IF(E56="Compra",(I56-F56),(F56-I56))*IF(ISNUMBER(SEARCH("JPY",C56)),100,10000),1))</f>
        <v/>
      </c>
      <c r="L56" s="17"/>
      <c r="M56" s="12" t="str">
        <f aca="false">IF(OR(J56="",K56="",J56=0),"",ROUND(K56/J56,2))</f>
        <v/>
      </c>
      <c r="N56" s="18" t="str">
        <f aca="false">IF(L56="","",IF(L56&gt;0,"Ganada",IF(L56&lt;0,"Perdida","Nula")))</f>
        <v/>
      </c>
      <c r="O56" s="15"/>
      <c r="P56" s="14"/>
    </row>
    <row r="57" customFormat="false" ht="15" hidden="false" customHeight="false" outlineLevel="0" collapsed="false">
      <c r="A57" s="12" t="str">
        <f aca="false">IF(B57="","",53)</f>
        <v/>
      </c>
      <c r="B57" s="13"/>
      <c r="C57" s="14"/>
      <c r="D57" s="15"/>
      <c r="E57" s="15"/>
      <c r="F57" s="16"/>
      <c r="G57" s="16"/>
      <c r="H57" s="16"/>
      <c r="I57" s="16"/>
      <c r="J57" s="12" t="str">
        <f aca="false">IF(OR(F57="",G57=""),"",ROUND(ABS(F57-G57)*IF(ISNUMBER(SEARCH("JPY",C57)),100,10000),1))</f>
        <v/>
      </c>
      <c r="K57" s="12" t="str">
        <f aca="false">IF(OR(F57="",I57="",E57=""),"",ROUND(IF(E57="Compra",(I57-F57),(F57-I57))*IF(ISNUMBER(SEARCH("JPY",C57)),100,10000),1))</f>
        <v/>
      </c>
      <c r="L57" s="17"/>
      <c r="M57" s="12" t="str">
        <f aca="false">IF(OR(J57="",K57="",J57=0),"",ROUND(K57/J57,2))</f>
        <v/>
      </c>
      <c r="N57" s="18" t="str">
        <f aca="false">IF(L57="","",IF(L57&gt;0,"Ganada",IF(L57&lt;0,"Perdida","Nula")))</f>
        <v/>
      </c>
      <c r="O57" s="15"/>
      <c r="P57" s="14"/>
    </row>
    <row r="58" customFormat="false" ht="15" hidden="false" customHeight="false" outlineLevel="0" collapsed="false">
      <c r="A58" s="12" t="str">
        <f aca="false">IF(B58="","",54)</f>
        <v/>
      </c>
      <c r="B58" s="13"/>
      <c r="C58" s="14"/>
      <c r="D58" s="15"/>
      <c r="E58" s="15"/>
      <c r="F58" s="16"/>
      <c r="G58" s="16"/>
      <c r="H58" s="16"/>
      <c r="I58" s="16"/>
      <c r="J58" s="12" t="str">
        <f aca="false">IF(OR(F58="",G58=""),"",ROUND(ABS(F58-G58)*IF(ISNUMBER(SEARCH("JPY",C58)),100,10000),1))</f>
        <v/>
      </c>
      <c r="K58" s="12" t="str">
        <f aca="false">IF(OR(F58="",I58="",E58=""),"",ROUND(IF(E58="Compra",(I58-F58),(F58-I58))*IF(ISNUMBER(SEARCH("JPY",C58)),100,10000),1))</f>
        <v/>
      </c>
      <c r="L58" s="17"/>
      <c r="M58" s="12" t="str">
        <f aca="false">IF(OR(J58="",K58="",J58=0),"",ROUND(K58/J58,2))</f>
        <v/>
      </c>
      <c r="N58" s="18" t="str">
        <f aca="false">IF(L58="","",IF(L58&gt;0,"Ganada",IF(L58&lt;0,"Perdida","Nula")))</f>
        <v/>
      </c>
      <c r="O58" s="15"/>
      <c r="P58" s="14"/>
    </row>
    <row r="59" customFormat="false" ht="15" hidden="false" customHeight="false" outlineLevel="0" collapsed="false">
      <c r="A59" s="12" t="str">
        <f aca="false">IF(B59="","",55)</f>
        <v/>
      </c>
      <c r="B59" s="13"/>
      <c r="C59" s="14"/>
      <c r="D59" s="15"/>
      <c r="E59" s="15"/>
      <c r="F59" s="16"/>
      <c r="G59" s="16"/>
      <c r="H59" s="16"/>
      <c r="I59" s="16"/>
      <c r="J59" s="12" t="str">
        <f aca="false">IF(OR(F59="",G59=""),"",ROUND(ABS(F59-G59)*IF(ISNUMBER(SEARCH("JPY",C59)),100,10000),1))</f>
        <v/>
      </c>
      <c r="K59" s="12" t="str">
        <f aca="false">IF(OR(F59="",I59="",E59=""),"",ROUND(IF(E59="Compra",(I59-F59),(F59-I59))*IF(ISNUMBER(SEARCH("JPY",C59)),100,10000),1))</f>
        <v/>
      </c>
      <c r="L59" s="17"/>
      <c r="M59" s="12" t="str">
        <f aca="false">IF(OR(J59="",K59="",J59=0),"",ROUND(K59/J59,2))</f>
        <v/>
      </c>
      <c r="N59" s="18" t="str">
        <f aca="false">IF(L59="","",IF(L59&gt;0,"Ganada",IF(L59&lt;0,"Perdida","Nula")))</f>
        <v/>
      </c>
      <c r="O59" s="15"/>
      <c r="P59" s="14"/>
    </row>
    <row r="60" customFormat="false" ht="15" hidden="false" customHeight="false" outlineLevel="0" collapsed="false">
      <c r="A60" s="12" t="str">
        <f aca="false">IF(B60="","",56)</f>
        <v/>
      </c>
      <c r="B60" s="13"/>
      <c r="C60" s="14"/>
      <c r="D60" s="15"/>
      <c r="E60" s="15"/>
      <c r="F60" s="16"/>
      <c r="G60" s="16"/>
      <c r="H60" s="16"/>
      <c r="I60" s="16"/>
      <c r="J60" s="12" t="str">
        <f aca="false">IF(OR(F60="",G60=""),"",ROUND(ABS(F60-G60)*IF(ISNUMBER(SEARCH("JPY",C60)),100,10000),1))</f>
        <v/>
      </c>
      <c r="K60" s="12" t="str">
        <f aca="false">IF(OR(F60="",I60="",E60=""),"",ROUND(IF(E60="Compra",(I60-F60),(F60-I60))*IF(ISNUMBER(SEARCH("JPY",C60)),100,10000),1))</f>
        <v/>
      </c>
      <c r="L60" s="17"/>
      <c r="M60" s="12" t="str">
        <f aca="false">IF(OR(J60="",K60="",J60=0),"",ROUND(K60/J60,2))</f>
        <v/>
      </c>
      <c r="N60" s="18" t="str">
        <f aca="false">IF(L60="","",IF(L60&gt;0,"Ganada",IF(L60&lt;0,"Perdida","Nula")))</f>
        <v/>
      </c>
      <c r="O60" s="15"/>
      <c r="P60" s="14"/>
    </row>
    <row r="61" customFormat="false" ht="15" hidden="false" customHeight="false" outlineLevel="0" collapsed="false">
      <c r="A61" s="12" t="str">
        <f aca="false">IF(B61="","",57)</f>
        <v/>
      </c>
      <c r="B61" s="13"/>
      <c r="C61" s="14"/>
      <c r="D61" s="15"/>
      <c r="E61" s="15"/>
      <c r="F61" s="16"/>
      <c r="G61" s="16"/>
      <c r="H61" s="16"/>
      <c r="I61" s="16"/>
      <c r="J61" s="12" t="str">
        <f aca="false">IF(OR(F61="",G61=""),"",ROUND(ABS(F61-G61)*IF(ISNUMBER(SEARCH("JPY",C61)),100,10000),1))</f>
        <v/>
      </c>
      <c r="K61" s="12" t="str">
        <f aca="false">IF(OR(F61="",I61="",E61=""),"",ROUND(IF(E61="Compra",(I61-F61),(F61-I61))*IF(ISNUMBER(SEARCH("JPY",C61)),100,10000),1))</f>
        <v/>
      </c>
      <c r="L61" s="17"/>
      <c r="M61" s="12" t="str">
        <f aca="false">IF(OR(J61="",K61="",J61=0),"",ROUND(K61/J61,2))</f>
        <v/>
      </c>
      <c r="N61" s="18" t="str">
        <f aca="false">IF(L61="","",IF(L61&gt;0,"Ganada",IF(L61&lt;0,"Perdida","Nula")))</f>
        <v/>
      </c>
      <c r="O61" s="15"/>
      <c r="P61" s="14"/>
    </row>
    <row r="62" customFormat="false" ht="15" hidden="false" customHeight="false" outlineLevel="0" collapsed="false">
      <c r="A62" s="12" t="str">
        <f aca="false">IF(B62="","",58)</f>
        <v/>
      </c>
      <c r="B62" s="13"/>
      <c r="C62" s="14"/>
      <c r="D62" s="15"/>
      <c r="E62" s="15"/>
      <c r="F62" s="16"/>
      <c r="G62" s="16"/>
      <c r="H62" s="16"/>
      <c r="I62" s="16"/>
      <c r="J62" s="12" t="str">
        <f aca="false">IF(OR(F62="",G62=""),"",ROUND(ABS(F62-G62)*IF(ISNUMBER(SEARCH("JPY",C62)),100,10000),1))</f>
        <v/>
      </c>
      <c r="K62" s="12" t="str">
        <f aca="false">IF(OR(F62="",I62="",E62=""),"",ROUND(IF(E62="Compra",(I62-F62),(F62-I62))*IF(ISNUMBER(SEARCH("JPY",C62)),100,10000),1))</f>
        <v/>
      </c>
      <c r="L62" s="17"/>
      <c r="M62" s="12" t="str">
        <f aca="false">IF(OR(J62="",K62="",J62=0),"",ROUND(K62/J62,2))</f>
        <v/>
      </c>
      <c r="N62" s="18" t="str">
        <f aca="false">IF(L62="","",IF(L62&gt;0,"Ganada",IF(L62&lt;0,"Perdida","Nula")))</f>
        <v/>
      </c>
      <c r="O62" s="15"/>
      <c r="P62" s="14"/>
    </row>
    <row r="63" customFormat="false" ht="15" hidden="false" customHeight="false" outlineLevel="0" collapsed="false">
      <c r="A63" s="12" t="str">
        <f aca="false">IF(B63="","",59)</f>
        <v/>
      </c>
      <c r="B63" s="13"/>
      <c r="C63" s="14"/>
      <c r="D63" s="15"/>
      <c r="E63" s="15"/>
      <c r="F63" s="16"/>
      <c r="G63" s="16"/>
      <c r="H63" s="16"/>
      <c r="I63" s="16"/>
      <c r="J63" s="12" t="str">
        <f aca="false">IF(OR(F63="",G63=""),"",ROUND(ABS(F63-G63)*IF(ISNUMBER(SEARCH("JPY",C63)),100,10000),1))</f>
        <v/>
      </c>
      <c r="K63" s="12" t="str">
        <f aca="false">IF(OR(F63="",I63="",E63=""),"",ROUND(IF(E63="Compra",(I63-F63),(F63-I63))*IF(ISNUMBER(SEARCH("JPY",C63)),100,10000),1))</f>
        <v/>
      </c>
      <c r="L63" s="17"/>
      <c r="M63" s="12" t="str">
        <f aca="false">IF(OR(J63="",K63="",J63=0),"",ROUND(K63/J63,2))</f>
        <v/>
      </c>
      <c r="N63" s="18" t="str">
        <f aca="false">IF(L63="","",IF(L63&gt;0,"Ganada",IF(L63&lt;0,"Perdida","Nula")))</f>
        <v/>
      </c>
      <c r="O63" s="15"/>
      <c r="P63" s="14"/>
    </row>
    <row r="64" customFormat="false" ht="15" hidden="false" customHeight="false" outlineLevel="0" collapsed="false">
      <c r="A64" s="12" t="str">
        <f aca="false">IF(B64="","",60)</f>
        <v/>
      </c>
      <c r="B64" s="13"/>
      <c r="C64" s="14"/>
      <c r="D64" s="15"/>
      <c r="E64" s="15"/>
      <c r="F64" s="16"/>
      <c r="G64" s="16"/>
      <c r="H64" s="16"/>
      <c r="I64" s="16"/>
      <c r="J64" s="12" t="str">
        <f aca="false">IF(OR(F64="",G64=""),"",ROUND(ABS(F64-G64)*IF(ISNUMBER(SEARCH("JPY",C64)),100,10000),1))</f>
        <v/>
      </c>
      <c r="K64" s="12" t="str">
        <f aca="false">IF(OR(F64="",I64="",E64=""),"",ROUND(IF(E64="Compra",(I64-F64),(F64-I64))*IF(ISNUMBER(SEARCH("JPY",C64)),100,10000),1))</f>
        <v/>
      </c>
      <c r="L64" s="17"/>
      <c r="M64" s="12" t="str">
        <f aca="false">IF(OR(J64="",K64="",J64=0),"",ROUND(K64/J64,2))</f>
        <v/>
      </c>
      <c r="N64" s="18" t="str">
        <f aca="false">IF(L64="","",IF(L64&gt;0,"Ganada",IF(L64&lt;0,"Perdida","Nula")))</f>
        <v/>
      </c>
      <c r="O64" s="15"/>
      <c r="P64" s="14"/>
    </row>
    <row r="65" customFormat="false" ht="15" hidden="false" customHeight="false" outlineLevel="0" collapsed="false">
      <c r="A65" s="12" t="str">
        <f aca="false">IF(B65="","",61)</f>
        <v/>
      </c>
      <c r="B65" s="13"/>
      <c r="C65" s="14"/>
      <c r="D65" s="15"/>
      <c r="E65" s="15"/>
      <c r="F65" s="16"/>
      <c r="G65" s="16"/>
      <c r="H65" s="16"/>
      <c r="I65" s="16"/>
      <c r="J65" s="12" t="str">
        <f aca="false">IF(OR(F65="",G65=""),"",ROUND(ABS(F65-G65)*IF(ISNUMBER(SEARCH("JPY",C65)),100,10000),1))</f>
        <v/>
      </c>
      <c r="K65" s="12" t="str">
        <f aca="false">IF(OR(F65="",I65="",E65=""),"",ROUND(IF(E65="Compra",(I65-F65),(F65-I65))*IF(ISNUMBER(SEARCH("JPY",C65)),100,10000),1))</f>
        <v/>
      </c>
      <c r="L65" s="17"/>
      <c r="M65" s="12" t="str">
        <f aca="false">IF(OR(J65="",K65="",J65=0),"",ROUND(K65/J65,2))</f>
        <v/>
      </c>
      <c r="N65" s="18" t="str">
        <f aca="false">IF(L65="","",IF(L65&gt;0,"Ganada",IF(L65&lt;0,"Perdida","Nula")))</f>
        <v/>
      </c>
      <c r="O65" s="15"/>
      <c r="P65" s="14"/>
    </row>
    <row r="66" customFormat="false" ht="15" hidden="false" customHeight="false" outlineLevel="0" collapsed="false">
      <c r="A66" s="12" t="str">
        <f aca="false">IF(B66="","",62)</f>
        <v/>
      </c>
      <c r="B66" s="13"/>
      <c r="C66" s="14"/>
      <c r="D66" s="15"/>
      <c r="E66" s="15"/>
      <c r="F66" s="16"/>
      <c r="G66" s="16"/>
      <c r="H66" s="16"/>
      <c r="I66" s="16"/>
      <c r="J66" s="12" t="str">
        <f aca="false">IF(OR(F66="",G66=""),"",ROUND(ABS(F66-G66)*IF(ISNUMBER(SEARCH("JPY",C66)),100,10000),1))</f>
        <v/>
      </c>
      <c r="K66" s="12" t="str">
        <f aca="false">IF(OR(F66="",I66="",E66=""),"",ROUND(IF(E66="Compra",(I66-F66),(F66-I66))*IF(ISNUMBER(SEARCH("JPY",C66)),100,10000),1))</f>
        <v/>
      </c>
      <c r="L66" s="17"/>
      <c r="M66" s="12" t="str">
        <f aca="false">IF(OR(J66="",K66="",J66=0),"",ROUND(K66/J66,2))</f>
        <v/>
      </c>
      <c r="N66" s="18" t="str">
        <f aca="false">IF(L66="","",IF(L66&gt;0,"Ganada",IF(L66&lt;0,"Perdida","Nula")))</f>
        <v/>
      </c>
      <c r="O66" s="15"/>
      <c r="P66" s="14"/>
    </row>
    <row r="67" customFormat="false" ht="15" hidden="false" customHeight="false" outlineLevel="0" collapsed="false">
      <c r="A67" s="12" t="str">
        <f aca="false">IF(B67="","",63)</f>
        <v/>
      </c>
      <c r="B67" s="13"/>
      <c r="C67" s="14"/>
      <c r="D67" s="15"/>
      <c r="E67" s="15"/>
      <c r="F67" s="16"/>
      <c r="G67" s="16"/>
      <c r="H67" s="16"/>
      <c r="I67" s="16"/>
      <c r="J67" s="12" t="str">
        <f aca="false">IF(OR(F67="",G67=""),"",ROUND(ABS(F67-G67)*IF(ISNUMBER(SEARCH("JPY",C67)),100,10000),1))</f>
        <v/>
      </c>
      <c r="K67" s="12" t="str">
        <f aca="false">IF(OR(F67="",I67="",E67=""),"",ROUND(IF(E67="Compra",(I67-F67),(F67-I67))*IF(ISNUMBER(SEARCH("JPY",C67)),100,10000),1))</f>
        <v/>
      </c>
      <c r="L67" s="17"/>
      <c r="M67" s="12" t="str">
        <f aca="false">IF(OR(J67="",K67="",J67=0),"",ROUND(K67/J67,2))</f>
        <v/>
      </c>
      <c r="N67" s="18" t="str">
        <f aca="false">IF(L67="","",IF(L67&gt;0,"Ganada",IF(L67&lt;0,"Perdida","Nula")))</f>
        <v/>
      </c>
      <c r="O67" s="15"/>
      <c r="P67" s="14"/>
    </row>
    <row r="68" customFormat="false" ht="15" hidden="false" customHeight="false" outlineLevel="0" collapsed="false">
      <c r="A68" s="12" t="str">
        <f aca="false">IF(B68="","",64)</f>
        <v/>
      </c>
      <c r="B68" s="13"/>
      <c r="C68" s="14"/>
      <c r="D68" s="15"/>
      <c r="E68" s="15"/>
      <c r="F68" s="16"/>
      <c r="G68" s="16"/>
      <c r="H68" s="16"/>
      <c r="I68" s="16"/>
      <c r="J68" s="12" t="str">
        <f aca="false">IF(OR(F68="",G68=""),"",ROUND(ABS(F68-G68)*IF(ISNUMBER(SEARCH("JPY",C68)),100,10000),1))</f>
        <v/>
      </c>
      <c r="K68" s="12" t="str">
        <f aca="false">IF(OR(F68="",I68="",E68=""),"",ROUND(IF(E68="Compra",(I68-F68),(F68-I68))*IF(ISNUMBER(SEARCH("JPY",C68)),100,10000),1))</f>
        <v/>
      </c>
      <c r="L68" s="17"/>
      <c r="M68" s="12" t="str">
        <f aca="false">IF(OR(J68="",K68="",J68=0),"",ROUND(K68/J68,2))</f>
        <v/>
      </c>
      <c r="N68" s="18" t="str">
        <f aca="false">IF(L68="","",IF(L68&gt;0,"Ganada",IF(L68&lt;0,"Perdida","Nula")))</f>
        <v/>
      </c>
      <c r="O68" s="15"/>
      <c r="P68" s="14"/>
    </row>
    <row r="69" customFormat="false" ht="15" hidden="false" customHeight="false" outlineLevel="0" collapsed="false">
      <c r="A69" s="12" t="str">
        <f aca="false">IF(B69="","",65)</f>
        <v/>
      </c>
      <c r="B69" s="13"/>
      <c r="C69" s="14"/>
      <c r="D69" s="15"/>
      <c r="E69" s="15"/>
      <c r="F69" s="16"/>
      <c r="G69" s="16"/>
      <c r="H69" s="16"/>
      <c r="I69" s="16"/>
      <c r="J69" s="12" t="str">
        <f aca="false">IF(OR(F69="",G69=""),"",ROUND(ABS(F69-G69)*IF(ISNUMBER(SEARCH("JPY",C69)),100,10000),1))</f>
        <v/>
      </c>
      <c r="K69" s="12" t="str">
        <f aca="false">IF(OR(F69="",I69="",E69=""),"",ROUND(IF(E69="Compra",(I69-F69),(F69-I69))*IF(ISNUMBER(SEARCH("JPY",C69)),100,10000),1))</f>
        <v/>
      </c>
      <c r="L69" s="17"/>
      <c r="M69" s="12" t="str">
        <f aca="false">IF(OR(J69="",K69="",J69=0),"",ROUND(K69/J69,2))</f>
        <v/>
      </c>
      <c r="N69" s="18" t="str">
        <f aca="false">IF(L69="","",IF(L69&gt;0,"Ganada",IF(L69&lt;0,"Perdida","Nula")))</f>
        <v/>
      </c>
      <c r="O69" s="15"/>
      <c r="P69" s="14"/>
    </row>
    <row r="70" customFormat="false" ht="15" hidden="false" customHeight="false" outlineLevel="0" collapsed="false">
      <c r="A70" s="12" t="str">
        <f aca="false">IF(B70="","",66)</f>
        <v/>
      </c>
      <c r="B70" s="13"/>
      <c r="C70" s="14"/>
      <c r="D70" s="15"/>
      <c r="E70" s="15"/>
      <c r="F70" s="16"/>
      <c r="G70" s="16"/>
      <c r="H70" s="16"/>
      <c r="I70" s="16"/>
      <c r="J70" s="12" t="str">
        <f aca="false">IF(OR(F70="",G70=""),"",ROUND(ABS(F70-G70)*IF(ISNUMBER(SEARCH("JPY",C70)),100,10000),1))</f>
        <v/>
      </c>
      <c r="K70" s="12" t="str">
        <f aca="false">IF(OR(F70="",I70="",E70=""),"",ROUND(IF(E70="Compra",(I70-F70),(F70-I70))*IF(ISNUMBER(SEARCH("JPY",C70)),100,10000),1))</f>
        <v/>
      </c>
      <c r="L70" s="17"/>
      <c r="M70" s="12" t="str">
        <f aca="false">IF(OR(J70="",K70="",J70=0),"",ROUND(K70/J70,2))</f>
        <v/>
      </c>
      <c r="N70" s="18" t="str">
        <f aca="false">IF(L70="","",IF(L70&gt;0,"Ganada",IF(L70&lt;0,"Perdida","Nula")))</f>
        <v/>
      </c>
      <c r="O70" s="15"/>
      <c r="P70" s="14"/>
    </row>
    <row r="71" customFormat="false" ht="15" hidden="false" customHeight="false" outlineLevel="0" collapsed="false">
      <c r="A71" s="12" t="str">
        <f aca="false">IF(B71="","",67)</f>
        <v/>
      </c>
      <c r="B71" s="13"/>
      <c r="C71" s="14"/>
      <c r="D71" s="15"/>
      <c r="E71" s="15"/>
      <c r="F71" s="16"/>
      <c r="G71" s="16"/>
      <c r="H71" s="16"/>
      <c r="I71" s="16"/>
      <c r="J71" s="12" t="str">
        <f aca="false">IF(OR(F71="",G71=""),"",ROUND(ABS(F71-G71)*IF(ISNUMBER(SEARCH("JPY",C71)),100,10000),1))</f>
        <v/>
      </c>
      <c r="K71" s="12" t="str">
        <f aca="false">IF(OR(F71="",I71="",E71=""),"",ROUND(IF(E71="Compra",(I71-F71),(F71-I71))*IF(ISNUMBER(SEARCH("JPY",C71)),100,10000),1))</f>
        <v/>
      </c>
      <c r="L71" s="17"/>
      <c r="M71" s="12" t="str">
        <f aca="false">IF(OR(J71="",K71="",J71=0),"",ROUND(K71/J71,2))</f>
        <v/>
      </c>
      <c r="N71" s="18" t="str">
        <f aca="false">IF(L71="","",IF(L71&gt;0,"Ganada",IF(L71&lt;0,"Perdida","Nula")))</f>
        <v/>
      </c>
      <c r="O71" s="15"/>
      <c r="P71" s="14"/>
    </row>
    <row r="72" customFormat="false" ht="15" hidden="false" customHeight="false" outlineLevel="0" collapsed="false">
      <c r="A72" s="12" t="str">
        <f aca="false">IF(B72="","",68)</f>
        <v/>
      </c>
      <c r="B72" s="13"/>
      <c r="C72" s="14"/>
      <c r="D72" s="15"/>
      <c r="E72" s="15"/>
      <c r="F72" s="16"/>
      <c r="G72" s="16"/>
      <c r="H72" s="16"/>
      <c r="I72" s="16"/>
      <c r="J72" s="12" t="str">
        <f aca="false">IF(OR(F72="",G72=""),"",ROUND(ABS(F72-G72)*IF(ISNUMBER(SEARCH("JPY",C72)),100,10000),1))</f>
        <v/>
      </c>
      <c r="K72" s="12" t="str">
        <f aca="false">IF(OR(F72="",I72="",E72=""),"",ROUND(IF(E72="Compra",(I72-F72),(F72-I72))*IF(ISNUMBER(SEARCH("JPY",C72)),100,10000),1))</f>
        <v/>
      </c>
      <c r="L72" s="17"/>
      <c r="M72" s="12" t="str">
        <f aca="false">IF(OR(J72="",K72="",J72=0),"",ROUND(K72/J72,2))</f>
        <v/>
      </c>
      <c r="N72" s="18" t="str">
        <f aca="false">IF(L72="","",IF(L72&gt;0,"Ganada",IF(L72&lt;0,"Perdida","Nula")))</f>
        <v/>
      </c>
      <c r="O72" s="15"/>
      <c r="P72" s="14"/>
    </row>
    <row r="73" customFormat="false" ht="15" hidden="false" customHeight="false" outlineLevel="0" collapsed="false">
      <c r="A73" s="12" t="str">
        <f aca="false">IF(B73="","",69)</f>
        <v/>
      </c>
      <c r="B73" s="13"/>
      <c r="C73" s="14"/>
      <c r="D73" s="15"/>
      <c r="E73" s="15"/>
      <c r="F73" s="16"/>
      <c r="G73" s="16"/>
      <c r="H73" s="16"/>
      <c r="I73" s="16"/>
      <c r="J73" s="12" t="str">
        <f aca="false">IF(OR(F73="",G73=""),"",ROUND(ABS(F73-G73)*IF(ISNUMBER(SEARCH("JPY",C73)),100,10000),1))</f>
        <v/>
      </c>
      <c r="K73" s="12" t="str">
        <f aca="false">IF(OR(F73="",I73="",E73=""),"",ROUND(IF(E73="Compra",(I73-F73),(F73-I73))*IF(ISNUMBER(SEARCH("JPY",C73)),100,10000),1))</f>
        <v/>
      </c>
      <c r="L73" s="17"/>
      <c r="M73" s="12" t="str">
        <f aca="false">IF(OR(J73="",K73="",J73=0),"",ROUND(K73/J73,2))</f>
        <v/>
      </c>
      <c r="N73" s="18" t="str">
        <f aca="false">IF(L73="","",IF(L73&gt;0,"Ganada",IF(L73&lt;0,"Perdida","Nula")))</f>
        <v/>
      </c>
      <c r="O73" s="15"/>
      <c r="P73" s="14"/>
    </row>
    <row r="74" customFormat="false" ht="15" hidden="false" customHeight="false" outlineLevel="0" collapsed="false">
      <c r="A74" s="12" t="str">
        <f aca="false">IF(B74="","",70)</f>
        <v/>
      </c>
      <c r="B74" s="13"/>
      <c r="C74" s="14"/>
      <c r="D74" s="15"/>
      <c r="E74" s="15"/>
      <c r="F74" s="16"/>
      <c r="G74" s="16"/>
      <c r="H74" s="16"/>
      <c r="I74" s="16"/>
      <c r="J74" s="12" t="str">
        <f aca="false">IF(OR(F74="",G74=""),"",ROUND(ABS(F74-G74)*IF(ISNUMBER(SEARCH("JPY",C74)),100,10000),1))</f>
        <v/>
      </c>
      <c r="K74" s="12" t="str">
        <f aca="false">IF(OR(F74="",I74="",E74=""),"",ROUND(IF(E74="Compra",(I74-F74),(F74-I74))*IF(ISNUMBER(SEARCH("JPY",C74)),100,10000),1))</f>
        <v/>
      </c>
      <c r="L74" s="17"/>
      <c r="M74" s="12" t="str">
        <f aca="false">IF(OR(J74="",K74="",J74=0),"",ROUND(K74/J74,2))</f>
        <v/>
      </c>
      <c r="N74" s="18" t="str">
        <f aca="false">IF(L74="","",IF(L74&gt;0,"Ganada",IF(L74&lt;0,"Perdida","Nula")))</f>
        <v/>
      </c>
      <c r="O74" s="15"/>
      <c r="P74" s="14"/>
    </row>
    <row r="75" customFormat="false" ht="15" hidden="false" customHeight="false" outlineLevel="0" collapsed="false">
      <c r="A75" s="12" t="str">
        <f aca="false">IF(B75="","",71)</f>
        <v/>
      </c>
      <c r="B75" s="13"/>
      <c r="C75" s="14"/>
      <c r="D75" s="15"/>
      <c r="E75" s="15"/>
      <c r="F75" s="16"/>
      <c r="G75" s="16"/>
      <c r="H75" s="16"/>
      <c r="I75" s="16"/>
      <c r="J75" s="12" t="str">
        <f aca="false">IF(OR(F75="",G75=""),"",ROUND(ABS(F75-G75)*IF(ISNUMBER(SEARCH("JPY",C75)),100,10000),1))</f>
        <v/>
      </c>
      <c r="K75" s="12" t="str">
        <f aca="false">IF(OR(F75="",I75="",E75=""),"",ROUND(IF(E75="Compra",(I75-F75),(F75-I75))*IF(ISNUMBER(SEARCH("JPY",C75)),100,10000),1))</f>
        <v/>
      </c>
      <c r="L75" s="17"/>
      <c r="M75" s="12" t="str">
        <f aca="false">IF(OR(J75="",K75="",J75=0),"",ROUND(K75/J75,2))</f>
        <v/>
      </c>
      <c r="N75" s="18" t="str">
        <f aca="false">IF(L75="","",IF(L75&gt;0,"Ganada",IF(L75&lt;0,"Perdida","Nula")))</f>
        <v/>
      </c>
      <c r="O75" s="15"/>
      <c r="P75" s="14"/>
    </row>
    <row r="76" customFormat="false" ht="15" hidden="false" customHeight="false" outlineLevel="0" collapsed="false">
      <c r="A76" s="12" t="str">
        <f aca="false">IF(B76="","",72)</f>
        <v/>
      </c>
      <c r="B76" s="13"/>
      <c r="C76" s="14"/>
      <c r="D76" s="15"/>
      <c r="E76" s="15"/>
      <c r="F76" s="16"/>
      <c r="G76" s="16"/>
      <c r="H76" s="16"/>
      <c r="I76" s="16"/>
      <c r="J76" s="12" t="str">
        <f aca="false">IF(OR(F76="",G76=""),"",ROUND(ABS(F76-G76)*IF(ISNUMBER(SEARCH("JPY",C76)),100,10000),1))</f>
        <v/>
      </c>
      <c r="K76" s="12" t="str">
        <f aca="false">IF(OR(F76="",I76="",E76=""),"",ROUND(IF(E76="Compra",(I76-F76),(F76-I76))*IF(ISNUMBER(SEARCH("JPY",C76)),100,10000),1))</f>
        <v/>
      </c>
      <c r="L76" s="17"/>
      <c r="M76" s="12" t="str">
        <f aca="false">IF(OR(J76="",K76="",J76=0),"",ROUND(K76/J76,2))</f>
        <v/>
      </c>
      <c r="N76" s="18" t="str">
        <f aca="false">IF(L76="","",IF(L76&gt;0,"Ganada",IF(L76&lt;0,"Perdida","Nula")))</f>
        <v/>
      </c>
      <c r="O76" s="15"/>
      <c r="P76" s="14"/>
    </row>
    <row r="77" customFormat="false" ht="15" hidden="false" customHeight="false" outlineLevel="0" collapsed="false">
      <c r="A77" s="12" t="str">
        <f aca="false">IF(B77="","",73)</f>
        <v/>
      </c>
      <c r="B77" s="13"/>
      <c r="C77" s="14"/>
      <c r="D77" s="15"/>
      <c r="E77" s="15"/>
      <c r="F77" s="16"/>
      <c r="G77" s="16"/>
      <c r="H77" s="16"/>
      <c r="I77" s="16"/>
      <c r="J77" s="12" t="str">
        <f aca="false">IF(OR(F77="",G77=""),"",ROUND(ABS(F77-G77)*IF(ISNUMBER(SEARCH("JPY",C77)),100,10000),1))</f>
        <v/>
      </c>
      <c r="K77" s="12" t="str">
        <f aca="false">IF(OR(F77="",I77="",E77=""),"",ROUND(IF(E77="Compra",(I77-F77),(F77-I77))*IF(ISNUMBER(SEARCH("JPY",C77)),100,10000),1))</f>
        <v/>
      </c>
      <c r="L77" s="17"/>
      <c r="M77" s="12" t="str">
        <f aca="false">IF(OR(J77="",K77="",J77=0),"",ROUND(K77/J77,2))</f>
        <v/>
      </c>
      <c r="N77" s="18" t="str">
        <f aca="false">IF(L77="","",IF(L77&gt;0,"Ganada",IF(L77&lt;0,"Perdida","Nula")))</f>
        <v/>
      </c>
      <c r="O77" s="15"/>
      <c r="P77" s="14"/>
    </row>
    <row r="78" customFormat="false" ht="15" hidden="false" customHeight="false" outlineLevel="0" collapsed="false">
      <c r="A78" s="12" t="str">
        <f aca="false">IF(B78="","",74)</f>
        <v/>
      </c>
      <c r="B78" s="13"/>
      <c r="C78" s="14"/>
      <c r="D78" s="15"/>
      <c r="E78" s="15"/>
      <c r="F78" s="16"/>
      <c r="G78" s="16"/>
      <c r="H78" s="16"/>
      <c r="I78" s="16"/>
      <c r="J78" s="12" t="str">
        <f aca="false">IF(OR(F78="",G78=""),"",ROUND(ABS(F78-G78)*IF(ISNUMBER(SEARCH("JPY",C78)),100,10000),1))</f>
        <v/>
      </c>
      <c r="K78" s="12" t="str">
        <f aca="false">IF(OR(F78="",I78="",E78=""),"",ROUND(IF(E78="Compra",(I78-F78),(F78-I78))*IF(ISNUMBER(SEARCH("JPY",C78)),100,10000),1))</f>
        <v/>
      </c>
      <c r="L78" s="17"/>
      <c r="M78" s="12" t="str">
        <f aca="false">IF(OR(J78="",K78="",J78=0),"",ROUND(K78/J78,2))</f>
        <v/>
      </c>
      <c r="N78" s="18" t="str">
        <f aca="false">IF(L78="","",IF(L78&gt;0,"Ganada",IF(L78&lt;0,"Perdida","Nula")))</f>
        <v/>
      </c>
      <c r="O78" s="15"/>
      <c r="P78" s="14"/>
    </row>
    <row r="79" customFormat="false" ht="15" hidden="false" customHeight="false" outlineLevel="0" collapsed="false">
      <c r="A79" s="12" t="str">
        <f aca="false">IF(B79="","",75)</f>
        <v/>
      </c>
      <c r="B79" s="13"/>
      <c r="C79" s="14"/>
      <c r="D79" s="15"/>
      <c r="E79" s="15"/>
      <c r="F79" s="16"/>
      <c r="G79" s="16"/>
      <c r="H79" s="16"/>
      <c r="I79" s="16"/>
      <c r="J79" s="12" t="str">
        <f aca="false">IF(OR(F79="",G79=""),"",ROUND(ABS(F79-G79)*IF(ISNUMBER(SEARCH("JPY",C79)),100,10000),1))</f>
        <v/>
      </c>
      <c r="K79" s="12" t="str">
        <f aca="false">IF(OR(F79="",I79="",E79=""),"",ROUND(IF(E79="Compra",(I79-F79),(F79-I79))*IF(ISNUMBER(SEARCH("JPY",C79)),100,10000),1))</f>
        <v/>
      </c>
      <c r="L79" s="17"/>
      <c r="M79" s="12" t="str">
        <f aca="false">IF(OR(J79="",K79="",J79=0),"",ROUND(K79/J79,2))</f>
        <v/>
      </c>
      <c r="N79" s="18" t="str">
        <f aca="false">IF(L79="","",IF(L79&gt;0,"Ganada",IF(L79&lt;0,"Perdida","Nula")))</f>
        <v/>
      </c>
      <c r="O79" s="15"/>
      <c r="P79" s="14"/>
    </row>
    <row r="80" customFormat="false" ht="15" hidden="false" customHeight="false" outlineLevel="0" collapsed="false">
      <c r="A80" s="12" t="str">
        <f aca="false">IF(B80="","",76)</f>
        <v/>
      </c>
      <c r="B80" s="13"/>
      <c r="C80" s="14"/>
      <c r="D80" s="15"/>
      <c r="E80" s="15"/>
      <c r="F80" s="16"/>
      <c r="G80" s="16"/>
      <c r="H80" s="16"/>
      <c r="I80" s="16"/>
      <c r="J80" s="12" t="str">
        <f aca="false">IF(OR(F80="",G80=""),"",ROUND(ABS(F80-G80)*IF(ISNUMBER(SEARCH("JPY",C80)),100,10000),1))</f>
        <v/>
      </c>
      <c r="K80" s="12" t="str">
        <f aca="false">IF(OR(F80="",I80="",E80=""),"",ROUND(IF(E80="Compra",(I80-F80),(F80-I80))*IF(ISNUMBER(SEARCH("JPY",C80)),100,10000),1))</f>
        <v/>
      </c>
      <c r="L80" s="17"/>
      <c r="M80" s="12" t="str">
        <f aca="false">IF(OR(J80="",K80="",J80=0),"",ROUND(K80/J80,2))</f>
        <v/>
      </c>
      <c r="N80" s="18" t="str">
        <f aca="false">IF(L80="","",IF(L80&gt;0,"Ganada",IF(L80&lt;0,"Perdida","Nula")))</f>
        <v/>
      </c>
      <c r="O80" s="15"/>
      <c r="P80" s="14"/>
    </row>
    <row r="81" customFormat="false" ht="15" hidden="false" customHeight="false" outlineLevel="0" collapsed="false">
      <c r="A81" s="12" t="str">
        <f aca="false">IF(B81="","",77)</f>
        <v/>
      </c>
      <c r="B81" s="13"/>
      <c r="C81" s="14"/>
      <c r="D81" s="15"/>
      <c r="E81" s="15"/>
      <c r="F81" s="16"/>
      <c r="G81" s="16"/>
      <c r="H81" s="16"/>
      <c r="I81" s="16"/>
      <c r="J81" s="12" t="str">
        <f aca="false">IF(OR(F81="",G81=""),"",ROUND(ABS(F81-G81)*IF(ISNUMBER(SEARCH("JPY",C81)),100,10000),1))</f>
        <v/>
      </c>
      <c r="K81" s="12" t="str">
        <f aca="false">IF(OR(F81="",I81="",E81=""),"",ROUND(IF(E81="Compra",(I81-F81),(F81-I81))*IF(ISNUMBER(SEARCH("JPY",C81)),100,10000),1))</f>
        <v/>
      </c>
      <c r="L81" s="17"/>
      <c r="M81" s="12" t="str">
        <f aca="false">IF(OR(J81="",K81="",J81=0),"",ROUND(K81/J81,2))</f>
        <v/>
      </c>
      <c r="N81" s="18" t="str">
        <f aca="false">IF(L81="","",IF(L81&gt;0,"Ganada",IF(L81&lt;0,"Perdida","Nula")))</f>
        <v/>
      </c>
      <c r="O81" s="15"/>
      <c r="P81" s="14"/>
    </row>
    <row r="82" customFormat="false" ht="15" hidden="false" customHeight="false" outlineLevel="0" collapsed="false">
      <c r="A82" s="12" t="str">
        <f aca="false">IF(B82="","",78)</f>
        <v/>
      </c>
      <c r="B82" s="13"/>
      <c r="C82" s="14"/>
      <c r="D82" s="15"/>
      <c r="E82" s="15"/>
      <c r="F82" s="16"/>
      <c r="G82" s="16"/>
      <c r="H82" s="16"/>
      <c r="I82" s="16"/>
      <c r="J82" s="12" t="str">
        <f aca="false">IF(OR(F82="",G82=""),"",ROUND(ABS(F82-G82)*IF(ISNUMBER(SEARCH("JPY",C82)),100,10000),1))</f>
        <v/>
      </c>
      <c r="K82" s="12" t="str">
        <f aca="false">IF(OR(F82="",I82="",E82=""),"",ROUND(IF(E82="Compra",(I82-F82),(F82-I82))*IF(ISNUMBER(SEARCH("JPY",C82)),100,10000),1))</f>
        <v/>
      </c>
      <c r="L82" s="17"/>
      <c r="M82" s="12" t="str">
        <f aca="false">IF(OR(J82="",K82="",J82=0),"",ROUND(K82/J82,2))</f>
        <v/>
      </c>
      <c r="N82" s="18" t="str">
        <f aca="false">IF(L82="","",IF(L82&gt;0,"Ganada",IF(L82&lt;0,"Perdida","Nula")))</f>
        <v/>
      </c>
      <c r="O82" s="15"/>
      <c r="P82" s="14"/>
    </row>
    <row r="83" customFormat="false" ht="15" hidden="false" customHeight="false" outlineLevel="0" collapsed="false">
      <c r="A83" s="12" t="str">
        <f aca="false">IF(B83="","",79)</f>
        <v/>
      </c>
      <c r="B83" s="13"/>
      <c r="C83" s="14"/>
      <c r="D83" s="15"/>
      <c r="E83" s="15"/>
      <c r="F83" s="16"/>
      <c r="G83" s="16"/>
      <c r="H83" s="16"/>
      <c r="I83" s="16"/>
      <c r="J83" s="12" t="str">
        <f aca="false">IF(OR(F83="",G83=""),"",ROUND(ABS(F83-G83)*IF(ISNUMBER(SEARCH("JPY",C83)),100,10000),1))</f>
        <v/>
      </c>
      <c r="K83" s="12" t="str">
        <f aca="false">IF(OR(F83="",I83="",E83=""),"",ROUND(IF(E83="Compra",(I83-F83),(F83-I83))*IF(ISNUMBER(SEARCH("JPY",C83)),100,10000),1))</f>
        <v/>
      </c>
      <c r="L83" s="17"/>
      <c r="M83" s="12" t="str">
        <f aca="false">IF(OR(J83="",K83="",J83=0),"",ROUND(K83/J83,2))</f>
        <v/>
      </c>
      <c r="N83" s="18" t="str">
        <f aca="false">IF(L83="","",IF(L83&gt;0,"Ganada",IF(L83&lt;0,"Perdida","Nula")))</f>
        <v/>
      </c>
      <c r="O83" s="15"/>
      <c r="P83" s="14"/>
    </row>
    <row r="84" customFormat="false" ht="15" hidden="false" customHeight="false" outlineLevel="0" collapsed="false">
      <c r="A84" s="12" t="str">
        <f aca="false">IF(B84="","",80)</f>
        <v/>
      </c>
      <c r="B84" s="13"/>
      <c r="C84" s="14"/>
      <c r="D84" s="15"/>
      <c r="E84" s="15"/>
      <c r="F84" s="16"/>
      <c r="G84" s="16"/>
      <c r="H84" s="16"/>
      <c r="I84" s="16"/>
      <c r="J84" s="12" t="str">
        <f aca="false">IF(OR(F84="",G84=""),"",ROUND(ABS(F84-G84)*IF(ISNUMBER(SEARCH("JPY",C84)),100,10000),1))</f>
        <v/>
      </c>
      <c r="K84" s="12" t="str">
        <f aca="false">IF(OR(F84="",I84="",E84=""),"",ROUND(IF(E84="Compra",(I84-F84),(F84-I84))*IF(ISNUMBER(SEARCH("JPY",C84)),100,10000),1))</f>
        <v/>
      </c>
      <c r="L84" s="17"/>
      <c r="M84" s="12" t="str">
        <f aca="false">IF(OR(J84="",K84="",J84=0),"",ROUND(K84/J84,2))</f>
        <v/>
      </c>
      <c r="N84" s="18" t="str">
        <f aca="false">IF(L84="","",IF(L84&gt;0,"Ganada",IF(L84&lt;0,"Perdida","Nula")))</f>
        <v/>
      </c>
      <c r="O84" s="15"/>
      <c r="P84" s="14"/>
    </row>
    <row r="85" customFormat="false" ht="15" hidden="false" customHeight="false" outlineLevel="0" collapsed="false">
      <c r="A85" s="12" t="str">
        <f aca="false">IF(B85="","",81)</f>
        <v/>
      </c>
      <c r="B85" s="13"/>
      <c r="C85" s="14"/>
      <c r="D85" s="15"/>
      <c r="E85" s="15"/>
      <c r="F85" s="16"/>
      <c r="G85" s="16"/>
      <c r="H85" s="16"/>
      <c r="I85" s="16"/>
      <c r="J85" s="12" t="str">
        <f aca="false">IF(OR(F85="",G85=""),"",ROUND(ABS(F85-G85)*IF(ISNUMBER(SEARCH("JPY",C85)),100,10000),1))</f>
        <v/>
      </c>
      <c r="K85" s="12" t="str">
        <f aca="false">IF(OR(F85="",I85="",E85=""),"",ROUND(IF(E85="Compra",(I85-F85),(F85-I85))*IF(ISNUMBER(SEARCH("JPY",C85)),100,10000),1))</f>
        <v/>
      </c>
      <c r="L85" s="17"/>
      <c r="M85" s="12" t="str">
        <f aca="false">IF(OR(J85="",K85="",J85=0),"",ROUND(K85/J85,2))</f>
        <v/>
      </c>
      <c r="N85" s="18" t="str">
        <f aca="false">IF(L85="","",IF(L85&gt;0,"Ganada",IF(L85&lt;0,"Perdida","Nula")))</f>
        <v/>
      </c>
      <c r="O85" s="15"/>
      <c r="P85" s="14"/>
    </row>
    <row r="86" customFormat="false" ht="15" hidden="false" customHeight="false" outlineLevel="0" collapsed="false">
      <c r="A86" s="12" t="str">
        <f aca="false">IF(B86="","",82)</f>
        <v/>
      </c>
      <c r="B86" s="13"/>
      <c r="C86" s="14"/>
      <c r="D86" s="15"/>
      <c r="E86" s="15"/>
      <c r="F86" s="16"/>
      <c r="G86" s="16"/>
      <c r="H86" s="16"/>
      <c r="I86" s="16"/>
      <c r="J86" s="12" t="str">
        <f aca="false">IF(OR(F86="",G86=""),"",ROUND(ABS(F86-G86)*IF(ISNUMBER(SEARCH("JPY",C86)),100,10000),1))</f>
        <v/>
      </c>
      <c r="K86" s="12" t="str">
        <f aca="false">IF(OR(F86="",I86="",E86=""),"",ROUND(IF(E86="Compra",(I86-F86),(F86-I86))*IF(ISNUMBER(SEARCH("JPY",C86)),100,10000),1))</f>
        <v/>
      </c>
      <c r="L86" s="17"/>
      <c r="M86" s="12" t="str">
        <f aca="false">IF(OR(J86="",K86="",J86=0),"",ROUND(K86/J86,2))</f>
        <v/>
      </c>
      <c r="N86" s="18" t="str">
        <f aca="false">IF(L86="","",IF(L86&gt;0,"Ganada",IF(L86&lt;0,"Perdida","Nula")))</f>
        <v/>
      </c>
      <c r="O86" s="15"/>
      <c r="P86" s="14"/>
    </row>
    <row r="87" customFormat="false" ht="15" hidden="false" customHeight="false" outlineLevel="0" collapsed="false">
      <c r="A87" s="12" t="str">
        <f aca="false">IF(B87="","",83)</f>
        <v/>
      </c>
      <c r="B87" s="13"/>
      <c r="C87" s="14"/>
      <c r="D87" s="15"/>
      <c r="E87" s="15"/>
      <c r="F87" s="16"/>
      <c r="G87" s="16"/>
      <c r="H87" s="16"/>
      <c r="I87" s="16"/>
      <c r="J87" s="12" t="str">
        <f aca="false">IF(OR(F87="",G87=""),"",ROUND(ABS(F87-G87)*IF(ISNUMBER(SEARCH("JPY",C87)),100,10000),1))</f>
        <v/>
      </c>
      <c r="K87" s="12" t="str">
        <f aca="false">IF(OR(F87="",I87="",E87=""),"",ROUND(IF(E87="Compra",(I87-F87),(F87-I87))*IF(ISNUMBER(SEARCH("JPY",C87)),100,10000),1))</f>
        <v/>
      </c>
      <c r="L87" s="17"/>
      <c r="M87" s="12" t="str">
        <f aca="false">IF(OR(J87="",K87="",J87=0),"",ROUND(K87/J87,2))</f>
        <v/>
      </c>
      <c r="N87" s="18" t="str">
        <f aca="false">IF(L87="","",IF(L87&gt;0,"Ganada",IF(L87&lt;0,"Perdida","Nula")))</f>
        <v/>
      </c>
      <c r="O87" s="15"/>
      <c r="P87" s="14"/>
    </row>
    <row r="88" customFormat="false" ht="15" hidden="false" customHeight="false" outlineLevel="0" collapsed="false">
      <c r="A88" s="12" t="str">
        <f aca="false">IF(B88="","",84)</f>
        <v/>
      </c>
      <c r="B88" s="13"/>
      <c r="C88" s="14"/>
      <c r="D88" s="15"/>
      <c r="E88" s="15"/>
      <c r="F88" s="16"/>
      <c r="G88" s="16"/>
      <c r="H88" s="16"/>
      <c r="I88" s="16"/>
      <c r="J88" s="12" t="str">
        <f aca="false">IF(OR(F88="",G88=""),"",ROUND(ABS(F88-G88)*IF(ISNUMBER(SEARCH("JPY",C88)),100,10000),1))</f>
        <v/>
      </c>
      <c r="K88" s="12" t="str">
        <f aca="false">IF(OR(F88="",I88="",E88=""),"",ROUND(IF(E88="Compra",(I88-F88),(F88-I88))*IF(ISNUMBER(SEARCH("JPY",C88)),100,10000),1))</f>
        <v/>
      </c>
      <c r="L88" s="17"/>
      <c r="M88" s="12" t="str">
        <f aca="false">IF(OR(J88="",K88="",J88=0),"",ROUND(K88/J88,2))</f>
        <v/>
      </c>
      <c r="N88" s="18" t="str">
        <f aca="false">IF(L88="","",IF(L88&gt;0,"Ganada",IF(L88&lt;0,"Perdida","Nula")))</f>
        <v/>
      </c>
      <c r="O88" s="15"/>
      <c r="P88" s="14"/>
    </row>
    <row r="89" customFormat="false" ht="15" hidden="false" customHeight="false" outlineLevel="0" collapsed="false">
      <c r="A89" s="12" t="str">
        <f aca="false">IF(B89="","",85)</f>
        <v/>
      </c>
      <c r="B89" s="13"/>
      <c r="C89" s="14"/>
      <c r="D89" s="15"/>
      <c r="E89" s="15"/>
      <c r="F89" s="16"/>
      <c r="G89" s="16"/>
      <c r="H89" s="16"/>
      <c r="I89" s="16"/>
      <c r="J89" s="12" t="str">
        <f aca="false">IF(OR(F89="",G89=""),"",ROUND(ABS(F89-G89)*IF(ISNUMBER(SEARCH("JPY",C89)),100,10000),1))</f>
        <v/>
      </c>
      <c r="K89" s="12" t="str">
        <f aca="false">IF(OR(F89="",I89="",E89=""),"",ROUND(IF(E89="Compra",(I89-F89),(F89-I89))*IF(ISNUMBER(SEARCH("JPY",C89)),100,10000),1))</f>
        <v/>
      </c>
      <c r="L89" s="17"/>
      <c r="M89" s="12" t="str">
        <f aca="false">IF(OR(J89="",K89="",J89=0),"",ROUND(K89/J89,2))</f>
        <v/>
      </c>
      <c r="N89" s="18" t="str">
        <f aca="false">IF(L89="","",IF(L89&gt;0,"Ganada",IF(L89&lt;0,"Perdida","Nula")))</f>
        <v/>
      </c>
      <c r="O89" s="15"/>
      <c r="P89" s="14"/>
    </row>
    <row r="90" customFormat="false" ht="15" hidden="false" customHeight="false" outlineLevel="0" collapsed="false">
      <c r="A90" s="12" t="str">
        <f aca="false">IF(B90="","",86)</f>
        <v/>
      </c>
      <c r="B90" s="13"/>
      <c r="C90" s="14"/>
      <c r="D90" s="15"/>
      <c r="E90" s="15"/>
      <c r="F90" s="16"/>
      <c r="G90" s="16"/>
      <c r="H90" s="16"/>
      <c r="I90" s="16"/>
      <c r="J90" s="12" t="str">
        <f aca="false">IF(OR(F90="",G90=""),"",ROUND(ABS(F90-G90)*IF(ISNUMBER(SEARCH("JPY",C90)),100,10000),1))</f>
        <v/>
      </c>
      <c r="K90" s="12" t="str">
        <f aca="false">IF(OR(F90="",I90="",E90=""),"",ROUND(IF(E90="Compra",(I90-F90),(F90-I90))*IF(ISNUMBER(SEARCH("JPY",C90)),100,10000),1))</f>
        <v/>
      </c>
      <c r="L90" s="17"/>
      <c r="M90" s="12" t="str">
        <f aca="false">IF(OR(J90="",K90="",J90=0),"",ROUND(K90/J90,2))</f>
        <v/>
      </c>
      <c r="N90" s="18" t="str">
        <f aca="false">IF(L90="","",IF(L90&gt;0,"Ganada",IF(L90&lt;0,"Perdida","Nula")))</f>
        <v/>
      </c>
      <c r="O90" s="15"/>
      <c r="P90" s="14"/>
    </row>
    <row r="91" customFormat="false" ht="15" hidden="false" customHeight="false" outlineLevel="0" collapsed="false">
      <c r="A91" s="12" t="str">
        <f aca="false">IF(B91="","",87)</f>
        <v/>
      </c>
      <c r="B91" s="13"/>
      <c r="C91" s="14"/>
      <c r="D91" s="15"/>
      <c r="E91" s="15"/>
      <c r="F91" s="16"/>
      <c r="G91" s="16"/>
      <c r="H91" s="16"/>
      <c r="I91" s="16"/>
      <c r="J91" s="12" t="str">
        <f aca="false">IF(OR(F91="",G91=""),"",ROUND(ABS(F91-G91)*IF(ISNUMBER(SEARCH("JPY",C91)),100,10000),1))</f>
        <v/>
      </c>
      <c r="K91" s="12" t="str">
        <f aca="false">IF(OR(F91="",I91="",E91=""),"",ROUND(IF(E91="Compra",(I91-F91),(F91-I91))*IF(ISNUMBER(SEARCH("JPY",C91)),100,10000),1))</f>
        <v/>
      </c>
      <c r="L91" s="17"/>
      <c r="M91" s="12" t="str">
        <f aca="false">IF(OR(J91="",K91="",J91=0),"",ROUND(K91/J91,2))</f>
        <v/>
      </c>
      <c r="N91" s="18" t="str">
        <f aca="false">IF(L91="","",IF(L91&gt;0,"Ganada",IF(L91&lt;0,"Perdida","Nula")))</f>
        <v/>
      </c>
      <c r="O91" s="15"/>
      <c r="P91" s="14"/>
    </row>
    <row r="92" customFormat="false" ht="15" hidden="false" customHeight="false" outlineLevel="0" collapsed="false">
      <c r="A92" s="12" t="str">
        <f aca="false">IF(B92="","",88)</f>
        <v/>
      </c>
      <c r="B92" s="13"/>
      <c r="C92" s="14"/>
      <c r="D92" s="15"/>
      <c r="E92" s="15"/>
      <c r="F92" s="16"/>
      <c r="G92" s="16"/>
      <c r="H92" s="16"/>
      <c r="I92" s="16"/>
      <c r="J92" s="12" t="str">
        <f aca="false">IF(OR(F92="",G92=""),"",ROUND(ABS(F92-G92)*IF(ISNUMBER(SEARCH("JPY",C92)),100,10000),1))</f>
        <v/>
      </c>
      <c r="K92" s="12" t="str">
        <f aca="false">IF(OR(F92="",I92="",E92=""),"",ROUND(IF(E92="Compra",(I92-F92),(F92-I92))*IF(ISNUMBER(SEARCH("JPY",C92)),100,10000),1))</f>
        <v/>
      </c>
      <c r="L92" s="17"/>
      <c r="M92" s="12" t="str">
        <f aca="false">IF(OR(J92="",K92="",J92=0),"",ROUND(K92/J92,2))</f>
        <v/>
      </c>
      <c r="N92" s="18" t="str">
        <f aca="false">IF(L92="","",IF(L92&gt;0,"Ganada",IF(L92&lt;0,"Perdida","Nula")))</f>
        <v/>
      </c>
      <c r="O92" s="15"/>
      <c r="P92" s="14"/>
    </row>
    <row r="93" customFormat="false" ht="15" hidden="false" customHeight="false" outlineLevel="0" collapsed="false">
      <c r="A93" s="12" t="str">
        <f aca="false">IF(B93="","",89)</f>
        <v/>
      </c>
      <c r="B93" s="13"/>
      <c r="C93" s="14"/>
      <c r="D93" s="15"/>
      <c r="E93" s="15"/>
      <c r="F93" s="16"/>
      <c r="G93" s="16"/>
      <c r="H93" s="16"/>
      <c r="I93" s="16"/>
      <c r="J93" s="12" t="str">
        <f aca="false">IF(OR(F93="",G93=""),"",ROUND(ABS(F93-G93)*IF(ISNUMBER(SEARCH("JPY",C93)),100,10000),1))</f>
        <v/>
      </c>
      <c r="K93" s="12" t="str">
        <f aca="false">IF(OR(F93="",I93="",E93=""),"",ROUND(IF(E93="Compra",(I93-F93),(F93-I93))*IF(ISNUMBER(SEARCH("JPY",C93)),100,10000),1))</f>
        <v/>
      </c>
      <c r="L93" s="17"/>
      <c r="M93" s="12" t="str">
        <f aca="false">IF(OR(J93="",K93="",J93=0),"",ROUND(K93/J93,2))</f>
        <v/>
      </c>
      <c r="N93" s="18" t="str">
        <f aca="false">IF(L93="","",IF(L93&gt;0,"Ganada",IF(L93&lt;0,"Perdida","Nula")))</f>
        <v/>
      </c>
      <c r="O93" s="15"/>
      <c r="P93" s="14"/>
    </row>
    <row r="94" customFormat="false" ht="15" hidden="false" customHeight="false" outlineLevel="0" collapsed="false">
      <c r="A94" s="12" t="str">
        <f aca="false">IF(B94="","",90)</f>
        <v/>
      </c>
      <c r="B94" s="13"/>
      <c r="C94" s="14"/>
      <c r="D94" s="15"/>
      <c r="E94" s="15"/>
      <c r="F94" s="16"/>
      <c r="G94" s="16"/>
      <c r="H94" s="16"/>
      <c r="I94" s="16"/>
      <c r="J94" s="12" t="str">
        <f aca="false">IF(OR(F94="",G94=""),"",ROUND(ABS(F94-G94)*IF(ISNUMBER(SEARCH("JPY",C94)),100,10000),1))</f>
        <v/>
      </c>
      <c r="K94" s="12" t="str">
        <f aca="false">IF(OR(F94="",I94="",E94=""),"",ROUND(IF(E94="Compra",(I94-F94),(F94-I94))*IF(ISNUMBER(SEARCH("JPY",C94)),100,10000),1))</f>
        <v/>
      </c>
      <c r="L94" s="17"/>
      <c r="M94" s="12" t="str">
        <f aca="false">IF(OR(J94="",K94="",J94=0),"",ROUND(K94/J94,2))</f>
        <v/>
      </c>
      <c r="N94" s="18" t="str">
        <f aca="false">IF(L94="","",IF(L94&gt;0,"Ganada",IF(L94&lt;0,"Perdida","Nula")))</f>
        <v/>
      </c>
      <c r="O94" s="15"/>
      <c r="P94" s="14"/>
    </row>
    <row r="95" customFormat="false" ht="15" hidden="false" customHeight="false" outlineLevel="0" collapsed="false">
      <c r="A95" s="12" t="str">
        <f aca="false">IF(B95="","",91)</f>
        <v/>
      </c>
      <c r="B95" s="13"/>
      <c r="C95" s="14"/>
      <c r="D95" s="15"/>
      <c r="E95" s="15"/>
      <c r="F95" s="16"/>
      <c r="G95" s="16"/>
      <c r="H95" s="16"/>
      <c r="I95" s="16"/>
      <c r="J95" s="12" t="str">
        <f aca="false">IF(OR(F95="",G95=""),"",ROUND(ABS(F95-G95)*IF(ISNUMBER(SEARCH("JPY",C95)),100,10000),1))</f>
        <v/>
      </c>
      <c r="K95" s="12" t="str">
        <f aca="false">IF(OR(F95="",I95="",E95=""),"",ROUND(IF(E95="Compra",(I95-F95),(F95-I95))*IF(ISNUMBER(SEARCH("JPY",C95)),100,10000),1))</f>
        <v/>
      </c>
      <c r="L95" s="17"/>
      <c r="M95" s="12" t="str">
        <f aca="false">IF(OR(J95="",K95="",J95=0),"",ROUND(K95/J95,2))</f>
        <v/>
      </c>
      <c r="N95" s="18" t="str">
        <f aca="false">IF(L95="","",IF(L95&gt;0,"Ganada",IF(L95&lt;0,"Perdida","Nula")))</f>
        <v/>
      </c>
      <c r="O95" s="15"/>
      <c r="P95" s="14"/>
    </row>
    <row r="96" customFormat="false" ht="15" hidden="false" customHeight="false" outlineLevel="0" collapsed="false">
      <c r="A96" s="12" t="str">
        <f aca="false">IF(B96="","",92)</f>
        <v/>
      </c>
      <c r="B96" s="13"/>
      <c r="C96" s="14"/>
      <c r="D96" s="15"/>
      <c r="E96" s="15"/>
      <c r="F96" s="16"/>
      <c r="G96" s="16"/>
      <c r="H96" s="16"/>
      <c r="I96" s="16"/>
      <c r="J96" s="12" t="str">
        <f aca="false">IF(OR(F96="",G96=""),"",ROUND(ABS(F96-G96)*IF(ISNUMBER(SEARCH("JPY",C96)),100,10000),1))</f>
        <v/>
      </c>
      <c r="K96" s="12" t="str">
        <f aca="false">IF(OR(F96="",I96="",E96=""),"",ROUND(IF(E96="Compra",(I96-F96),(F96-I96))*IF(ISNUMBER(SEARCH("JPY",C96)),100,10000),1))</f>
        <v/>
      </c>
      <c r="L96" s="17"/>
      <c r="M96" s="12" t="str">
        <f aca="false">IF(OR(J96="",K96="",J96=0),"",ROUND(K96/J96,2))</f>
        <v/>
      </c>
      <c r="N96" s="18" t="str">
        <f aca="false">IF(L96="","",IF(L96&gt;0,"Ganada",IF(L96&lt;0,"Perdida","Nula")))</f>
        <v/>
      </c>
      <c r="O96" s="15"/>
      <c r="P96" s="14"/>
    </row>
    <row r="97" customFormat="false" ht="15" hidden="false" customHeight="false" outlineLevel="0" collapsed="false">
      <c r="A97" s="12" t="str">
        <f aca="false">IF(B97="","",93)</f>
        <v/>
      </c>
      <c r="B97" s="13"/>
      <c r="C97" s="14"/>
      <c r="D97" s="15"/>
      <c r="E97" s="15"/>
      <c r="F97" s="16"/>
      <c r="G97" s="16"/>
      <c r="H97" s="16"/>
      <c r="I97" s="16"/>
      <c r="J97" s="12" t="str">
        <f aca="false">IF(OR(F97="",G97=""),"",ROUND(ABS(F97-G97)*IF(ISNUMBER(SEARCH("JPY",C97)),100,10000),1))</f>
        <v/>
      </c>
      <c r="K97" s="12" t="str">
        <f aca="false">IF(OR(F97="",I97="",E97=""),"",ROUND(IF(E97="Compra",(I97-F97),(F97-I97))*IF(ISNUMBER(SEARCH("JPY",C97)),100,10000),1))</f>
        <v/>
      </c>
      <c r="L97" s="17"/>
      <c r="M97" s="12" t="str">
        <f aca="false">IF(OR(J97="",K97="",J97=0),"",ROUND(K97/J97,2))</f>
        <v/>
      </c>
      <c r="N97" s="18" t="str">
        <f aca="false">IF(L97="","",IF(L97&gt;0,"Ganada",IF(L97&lt;0,"Perdida","Nula")))</f>
        <v/>
      </c>
      <c r="O97" s="15"/>
      <c r="P97" s="14"/>
    </row>
    <row r="98" customFormat="false" ht="15" hidden="false" customHeight="false" outlineLevel="0" collapsed="false">
      <c r="A98" s="12" t="str">
        <f aca="false">IF(B98="","",94)</f>
        <v/>
      </c>
      <c r="B98" s="13"/>
      <c r="C98" s="14"/>
      <c r="D98" s="15"/>
      <c r="E98" s="15"/>
      <c r="F98" s="16"/>
      <c r="G98" s="16"/>
      <c r="H98" s="16"/>
      <c r="I98" s="16"/>
      <c r="J98" s="12" t="str">
        <f aca="false">IF(OR(F98="",G98=""),"",ROUND(ABS(F98-G98)*IF(ISNUMBER(SEARCH("JPY",C98)),100,10000),1))</f>
        <v/>
      </c>
      <c r="K98" s="12" t="str">
        <f aca="false">IF(OR(F98="",I98="",E98=""),"",ROUND(IF(E98="Compra",(I98-F98),(F98-I98))*IF(ISNUMBER(SEARCH("JPY",C98)),100,10000),1))</f>
        <v/>
      </c>
      <c r="L98" s="17"/>
      <c r="M98" s="12" t="str">
        <f aca="false">IF(OR(J98="",K98="",J98=0),"",ROUND(K98/J98,2))</f>
        <v/>
      </c>
      <c r="N98" s="18" t="str">
        <f aca="false">IF(L98="","",IF(L98&gt;0,"Ganada",IF(L98&lt;0,"Perdida","Nula")))</f>
        <v/>
      </c>
      <c r="O98" s="15"/>
      <c r="P98" s="14"/>
    </row>
    <row r="99" customFormat="false" ht="15" hidden="false" customHeight="false" outlineLevel="0" collapsed="false">
      <c r="A99" s="12" t="str">
        <f aca="false">IF(B99="","",95)</f>
        <v/>
      </c>
      <c r="B99" s="13"/>
      <c r="C99" s="14"/>
      <c r="D99" s="15"/>
      <c r="E99" s="15"/>
      <c r="F99" s="16"/>
      <c r="G99" s="16"/>
      <c r="H99" s="16"/>
      <c r="I99" s="16"/>
      <c r="J99" s="12" t="str">
        <f aca="false">IF(OR(F99="",G99=""),"",ROUND(ABS(F99-G99)*IF(ISNUMBER(SEARCH("JPY",C99)),100,10000),1))</f>
        <v/>
      </c>
      <c r="K99" s="12" t="str">
        <f aca="false">IF(OR(F99="",I99="",E99=""),"",ROUND(IF(E99="Compra",(I99-F99),(F99-I99))*IF(ISNUMBER(SEARCH("JPY",C99)),100,10000),1))</f>
        <v/>
      </c>
      <c r="L99" s="17"/>
      <c r="M99" s="12" t="str">
        <f aca="false">IF(OR(J99="",K99="",J99=0),"",ROUND(K99/J99,2))</f>
        <v/>
      </c>
      <c r="N99" s="18" t="str">
        <f aca="false">IF(L99="","",IF(L99&gt;0,"Ganada",IF(L99&lt;0,"Perdida","Nula")))</f>
        <v/>
      </c>
      <c r="O99" s="15"/>
      <c r="P99" s="14"/>
    </row>
    <row r="100" customFormat="false" ht="15" hidden="false" customHeight="false" outlineLevel="0" collapsed="false">
      <c r="A100" s="12" t="str">
        <f aca="false">IF(B100="","",96)</f>
        <v/>
      </c>
      <c r="B100" s="13"/>
      <c r="C100" s="14"/>
      <c r="D100" s="15"/>
      <c r="E100" s="15"/>
      <c r="F100" s="16"/>
      <c r="G100" s="16"/>
      <c r="H100" s="16"/>
      <c r="I100" s="16"/>
      <c r="J100" s="12" t="str">
        <f aca="false">IF(OR(F100="",G100=""),"",ROUND(ABS(F100-G100)*IF(ISNUMBER(SEARCH("JPY",C100)),100,10000),1))</f>
        <v/>
      </c>
      <c r="K100" s="12" t="str">
        <f aca="false">IF(OR(F100="",I100="",E100=""),"",ROUND(IF(E100="Compra",(I100-F100),(F100-I100))*IF(ISNUMBER(SEARCH("JPY",C100)),100,10000),1))</f>
        <v/>
      </c>
      <c r="L100" s="17"/>
      <c r="M100" s="12" t="str">
        <f aca="false">IF(OR(J100="",K100="",J100=0),"",ROUND(K100/J100,2))</f>
        <v/>
      </c>
      <c r="N100" s="18" t="str">
        <f aca="false">IF(L100="","",IF(L100&gt;0,"Ganada",IF(L100&lt;0,"Perdida","Nula")))</f>
        <v/>
      </c>
      <c r="O100" s="15"/>
      <c r="P100" s="14"/>
    </row>
    <row r="101" customFormat="false" ht="15" hidden="false" customHeight="false" outlineLevel="0" collapsed="false">
      <c r="A101" s="12" t="str">
        <f aca="false">IF(B101="","",97)</f>
        <v/>
      </c>
      <c r="B101" s="13"/>
      <c r="C101" s="14"/>
      <c r="D101" s="15"/>
      <c r="E101" s="15"/>
      <c r="F101" s="16"/>
      <c r="G101" s="16"/>
      <c r="H101" s="16"/>
      <c r="I101" s="16"/>
      <c r="J101" s="12" t="str">
        <f aca="false">IF(OR(F101="",G101=""),"",ROUND(ABS(F101-G101)*IF(ISNUMBER(SEARCH("JPY",C101)),100,10000),1))</f>
        <v/>
      </c>
      <c r="K101" s="12" t="str">
        <f aca="false">IF(OR(F101="",I101="",E101=""),"",ROUND(IF(E101="Compra",(I101-F101),(F101-I101))*IF(ISNUMBER(SEARCH("JPY",C101)),100,10000),1))</f>
        <v/>
      </c>
      <c r="L101" s="17"/>
      <c r="M101" s="12" t="str">
        <f aca="false">IF(OR(J101="",K101="",J101=0),"",ROUND(K101/J101,2))</f>
        <v/>
      </c>
      <c r="N101" s="18" t="str">
        <f aca="false">IF(L101="","",IF(L101&gt;0,"Ganada",IF(L101&lt;0,"Perdida","Nula")))</f>
        <v/>
      </c>
      <c r="O101" s="15"/>
      <c r="P101" s="14"/>
    </row>
    <row r="102" customFormat="false" ht="15" hidden="false" customHeight="false" outlineLevel="0" collapsed="false">
      <c r="A102" s="12" t="str">
        <f aca="false">IF(B102="","",98)</f>
        <v/>
      </c>
      <c r="B102" s="13"/>
      <c r="C102" s="14"/>
      <c r="D102" s="15"/>
      <c r="E102" s="15"/>
      <c r="F102" s="16"/>
      <c r="G102" s="16"/>
      <c r="H102" s="16"/>
      <c r="I102" s="16"/>
      <c r="J102" s="12" t="str">
        <f aca="false">IF(OR(F102="",G102=""),"",ROUND(ABS(F102-G102)*IF(ISNUMBER(SEARCH("JPY",C102)),100,10000),1))</f>
        <v/>
      </c>
      <c r="K102" s="12" t="str">
        <f aca="false">IF(OR(F102="",I102="",E102=""),"",ROUND(IF(E102="Compra",(I102-F102),(F102-I102))*IF(ISNUMBER(SEARCH("JPY",C102)),100,10000),1))</f>
        <v/>
      </c>
      <c r="L102" s="17"/>
      <c r="M102" s="12" t="str">
        <f aca="false">IF(OR(J102="",K102="",J102=0),"",ROUND(K102/J102,2))</f>
        <v/>
      </c>
      <c r="N102" s="18" t="str">
        <f aca="false">IF(L102="","",IF(L102&gt;0,"Ganada",IF(L102&lt;0,"Perdida","Nula")))</f>
        <v/>
      </c>
      <c r="O102" s="15"/>
      <c r="P102" s="14"/>
    </row>
    <row r="103" customFormat="false" ht="15" hidden="false" customHeight="false" outlineLevel="0" collapsed="false">
      <c r="A103" s="12" t="str">
        <f aca="false">IF(B103="","",99)</f>
        <v/>
      </c>
      <c r="B103" s="13"/>
      <c r="C103" s="14"/>
      <c r="D103" s="15"/>
      <c r="E103" s="15"/>
      <c r="F103" s="16"/>
      <c r="G103" s="16"/>
      <c r="H103" s="16"/>
      <c r="I103" s="16"/>
      <c r="J103" s="12" t="str">
        <f aca="false">IF(OR(F103="",G103=""),"",ROUND(ABS(F103-G103)*IF(ISNUMBER(SEARCH("JPY",C103)),100,10000),1))</f>
        <v/>
      </c>
      <c r="K103" s="12" t="str">
        <f aca="false">IF(OR(F103="",I103="",E103=""),"",ROUND(IF(E103="Compra",(I103-F103),(F103-I103))*IF(ISNUMBER(SEARCH("JPY",C103)),100,10000),1))</f>
        <v/>
      </c>
      <c r="L103" s="17"/>
      <c r="M103" s="12" t="str">
        <f aca="false">IF(OR(J103="",K103="",J103=0),"",ROUND(K103/J103,2))</f>
        <v/>
      </c>
      <c r="N103" s="18" t="str">
        <f aca="false">IF(L103="","",IF(L103&gt;0,"Ganada",IF(L103&lt;0,"Perdida","Nula")))</f>
        <v/>
      </c>
      <c r="O103" s="15"/>
      <c r="P103" s="14"/>
    </row>
    <row r="104" customFormat="false" ht="15" hidden="false" customHeight="false" outlineLevel="0" collapsed="false">
      <c r="A104" s="12" t="str">
        <f aca="false">IF(B104="","",100)</f>
        <v/>
      </c>
      <c r="B104" s="13"/>
      <c r="C104" s="14"/>
      <c r="D104" s="15"/>
      <c r="E104" s="15"/>
      <c r="F104" s="16"/>
      <c r="G104" s="16"/>
      <c r="H104" s="16"/>
      <c r="I104" s="16"/>
      <c r="J104" s="12" t="str">
        <f aca="false">IF(OR(F104="",G104=""),"",ROUND(ABS(F104-G104)*IF(ISNUMBER(SEARCH("JPY",C104)),100,10000),1))</f>
        <v/>
      </c>
      <c r="K104" s="12" t="str">
        <f aca="false">IF(OR(F104="",I104="",E104=""),"",ROUND(IF(E104="Compra",(I104-F104),(F104-I104))*IF(ISNUMBER(SEARCH("JPY",C104)),100,10000),1))</f>
        <v/>
      </c>
      <c r="L104" s="17"/>
      <c r="M104" s="12" t="str">
        <f aca="false">IF(OR(J104="",K104="",J104=0),"",ROUND(K104/J104,2))</f>
        <v/>
      </c>
      <c r="N104" s="18" t="str">
        <f aca="false">IF(L104="","",IF(L104&gt;0,"Ganada",IF(L104&lt;0,"Perdida","Nula")))</f>
        <v/>
      </c>
      <c r="O104" s="15"/>
      <c r="P104" s="14"/>
    </row>
    <row r="105" customFormat="false" ht="15" hidden="false" customHeight="false" outlineLevel="0" collapsed="false">
      <c r="A105" s="12" t="str">
        <f aca="false">IF(B105="","",101)</f>
        <v/>
      </c>
      <c r="B105" s="13"/>
      <c r="C105" s="14"/>
      <c r="D105" s="15"/>
      <c r="E105" s="15"/>
      <c r="F105" s="16"/>
      <c r="G105" s="16"/>
      <c r="H105" s="16"/>
      <c r="I105" s="16"/>
      <c r="J105" s="12" t="str">
        <f aca="false">IF(OR(F105="",G105=""),"",ROUND(ABS(F105-G105)*IF(ISNUMBER(SEARCH("JPY",C105)),100,10000),1))</f>
        <v/>
      </c>
      <c r="K105" s="12" t="str">
        <f aca="false">IF(OR(F105="",I105="",E105=""),"",ROUND(IF(E105="Compra",(I105-F105),(F105-I105))*IF(ISNUMBER(SEARCH("JPY",C105)),100,10000),1))</f>
        <v/>
      </c>
      <c r="L105" s="17"/>
      <c r="M105" s="12" t="str">
        <f aca="false">IF(OR(J105="",K105="",J105=0),"",ROUND(K105/J105,2))</f>
        <v/>
      </c>
      <c r="N105" s="18" t="str">
        <f aca="false">IF(L105="","",IF(L105&gt;0,"Ganada",IF(L105&lt;0,"Perdida","Nula")))</f>
        <v/>
      </c>
      <c r="O105" s="15"/>
      <c r="P105" s="14"/>
    </row>
    <row r="106" customFormat="false" ht="15" hidden="false" customHeight="false" outlineLevel="0" collapsed="false">
      <c r="A106" s="12" t="str">
        <f aca="false">IF(B106="","",102)</f>
        <v/>
      </c>
      <c r="B106" s="13"/>
      <c r="C106" s="14"/>
      <c r="D106" s="15"/>
      <c r="E106" s="15"/>
      <c r="F106" s="16"/>
      <c r="G106" s="16"/>
      <c r="H106" s="16"/>
      <c r="I106" s="16"/>
      <c r="J106" s="12" t="str">
        <f aca="false">IF(OR(F106="",G106=""),"",ROUND(ABS(F106-G106)*IF(ISNUMBER(SEARCH("JPY",C106)),100,10000),1))</f>
        <v/>
      </c>
      <c r="K106" s="12" t="str">
        <f aca="false">IF(OR(F106="",I106="",E106=""),"",ROUND(IF(E106="Compra",(I106-F106),(F106-I106))*IF(ISNUMBER(SEARCH("JPY",C106)),100,10000),1))</f>
        <v/>
      </c>
      <c r="L106" s="17"/>
      <c r="M106" s="12" t="str">
        <f aca="false">IF(OR(J106="",K106="",J106=0),"",ROUND(K106/J106,2))</f>
        <v/>
      </c>
      <c r="N106" s="18" t="str">
        <f aca="false">IF(L106="","",IF(L106&gt;0,"Ganada",IF(L106&lt;0,"Perdida","Nula")))</f>
        <v/>
      </c>
      <c r="O106" s="15"/>
      <c r="P106" s="14"/>
    </row>
    <row r="107" customFormat="false" ht="15" hidden="false" customHeight="false" outlineLevel="0" collapsed="false">
      <c r="A107" s="12" t="str">
        <f aca="false">IF(B107="","",103)</f>
        <v/>
      </c>
      <c r="B107" s="13"/>
      <c r="C107" s="14"/>
      <c r="D107" s="15"/>
      <c r="E107" s="15"/>
      <c r="F107" s="16"/>
      <c r="G107" s="16"/>
      <c r="H107" s="16"/>
      <c r="I107" s="16"/>
      <c r="J107" s="12" t="str">
        <f aca="false">IF(OR(F107="",G107=""),"",ROUND(ABS(F107-G107)*IF(ISNUMBER(SEARCH("JPY",C107)),100,10000),1))</f>
        <v/>
      </c>
      <c r="K107" s="12" t="str">
        <f aca="false">IF(OR(F107="",I107="",E107=""),"",ROUND(IF(E107="Compra",(I107-F107),(F107-I107))*IF(ISNUMBER(SEARCH("JPY",C107)),100,10000),1))</f>
        <v/>
      </c>
      <c r="L107" s="17"/>
      <c r="M107" s="12" t="str">
        <f aca="false">IF(OR(J107="",K107="",J107=0),"",ROUND(K107/J107,2))</f>
        <v/>
      </c>
      <c r="N107" s="18" t="str">
        <f aca="false">IF(L107="","",IF(L107&gt;0,"Ganada",IF(L107&lt;0,"Perdida","Nula")))</f>
        <v/>
      </c>
      <c r="O107" s="15"/>
      <c r="P107" s="14"/>
    </row>
    <row r="108" customFormat="false" ht="15" hidden="false" customHeight="false" outlineLevel="0" collapsed="false">
      <c r="A108" s="12" t="str">
        <f aca="false">IF(B108="","",104)</f>
        <v/>
      </c>
      <c r="B108" s="13"/>
      <c r="C108" s="14"/>
      <c r="D108" s="15"/>
      <c r="E108" s="15"/>
      <c r="F108" s="16"/>
      <c r="G108" s="16"/>
      <c r="H108" s="16"/>
      <c r="I108" s="16"/>
      <c r="J108" s="12" t="str">
        <f aca="false">IF(OR(F108="",G108=""),"",ROUND(ABS(F108-G108)*IF(ISNUMBER(SEARCH("JPY",C108)),100,10000),1))</f>
        <v/>
      </c>
      <c r="K108" s="12" t="str">
        <f aca="false">IF(OR(F108="",I108="",E108=""),"",ROUND(IF(E108="Compra",(I108-F108),(F108-I108))*IF(ISNUMBER(SEARCH("JPY",C108)),100,10000),1))</f>
        <v/>
      </c>
      <c r="L108" s="17"/>
      <c r="M108" s="12" t="str">
        <f aca="false">IF(OR(J108="",K108="",J108=0),"",ROUND(K108/J108,2))</f>
        <v/>
      </c>
      <c r="N108" s="18" t="str">
        <f aca="false">IF(L108="","",IF(L108&gt;0,"Ganada",IF(L108&lt;0,"Perdida","Nula")))</f>
        <v/>
      </c>
      <c r="O108" s="15"/>
      <c r="P108" s="14"/>
    </row>
    <row r="109" customFormat="false" ht="15" hidden="false" customHeight="false" outlineLevel="0" collapsed="false">
      <c r="A109" s="12" t="str">
        <f aca="false">IF(B109="","",105)</f>
        <v/>
      </c>
      <c r="B109" s="13"/>
      <c r="C109" s="14"/>
      <c r="D109" s="15"/>
      <c r="E109" s="15"/>
      <c r="F109" s="16"/>
      <c r="G109" s="16"/>
      <c r="H109" s="16"/>
      <c r="I109" s="16"/>
      <c r="J109" s="12" t="str">
        <f aca="false">IF(OR(F109="",G109=""),"",ROUND(ABS(F109-G109)*IF(ISNUMBER(SEARCH("JPY",C109)),100,10000),1))</f>
        <v/>
      </c>
      <c r="K109" s="12" t="str">
        <f aca="false">IF(OR(F109="",I109="",E109=""),"",ROUND(IF(E109="Compra",(I109-F109),(F109-I109))*IF(ISNUMBER(SEARCH("JPY",C109)),100,10000),1))</f>
        <v/>
      </c>
      <c r="L109" s="17"/>
      <c r="M109" s="12" t="str">
        <f aca="false">IF(OR(J109="",K109="",J109=0),"",ROUND(K109/J109,2))</f>
        <v/>
      </c>
      <c r="N109" s="18" t="str">
        <f aca="false">IF(L109="","",IF(L109&gt;0,"Ganada",IF(L109&lt;0,"Perdida","Nula")))</f>
        <v/>
      </c>
      <c r="O109" s="15"/>
      <c r="P109" s="14"/>
    </row>
    <row r="110" customFormat="false" ht="15" hidden="false" customHeight="false" outlineLevel="0" collapsed="false">
      <c r="A110" s="12" t="str">
        <f aca="false">IF(B110="","",106)</f>
        <v/>
      </c>
      <c r="B110" s="13"/>
      <c r="C110" s="14"/>
      <c r="D110" s="15"/>
      <c r="E110" s="15"/>
      <c r="F110" s="16"/>
      <c r="G110" s="16"/>
      <c r="H110" s="16"/>
      <c r="I110" s="16"/>
      <c r="J110" s="12" t="str">
        <f aca="false">IF(OR(F110="",G110=""),"",ROUND(ABS(F110-G110)*IF(ISNUMBER(SEARCH("JPY",C110)),100,10000),1))</f>
        <v/>
      </c>
      <c r="K110" s="12" t="str">
        <f aca="false">IF(OR(F110="",I110="",E110=""),"",ROUND(IF(E110="Compra",(I110-F110),(F110-I110))*IF(ISNUMBER(SEARCH("JPY",C110)),100,10000),1))</f>
        <v/>
      </c>
      <c r="L110" s="17"/>
      <c r="M110" s="12" t="str">
        <f aca="false">IF(OR(J110="",K110="",J110=0),"",ROUND(K110/J110,2))</f>
        <v/>
      </c>
      <c r="N110" s="18" t="str">
        <f aca="false">IF(L110="","",IF(L110&gt;0,"Ganada",IF(L110&lt;0,"Perdida","Nula")))</f>
        <v/>
      </c>
      <c r="O110" s="15"/>
      <c r="P110" s="14"/>
    </row>
    <row r="111" customFormat="false" ht="15" hidden="false" customHeight="false" outlineLevel="0" collapsed="false">
      <c r="A111" s="12" t="str">
        <f aca="false">IF(B111="","",107)</f>
        <v/>
      </c>
      <c r="B111" s="13"/>
      <c r="C111" s="14"/>
      <c r="D111" s="15"/>
      <c r="E111" s="15"/>
      <c r="F111" s="16"/>
      <c r="G111" s="16"/>
      <c r="H111" s="16"/>
      <c r="I111" s="16"/>
      <c r="J111" s="12" t="str">
        <f aca="false">IF(OR(F111="",G111=""),"",ROUND(ABS(F111-G111)*IF(ISNUMBER(SEARCH("JPY",C111)),100,10000),1))</f>
        <v/>
      </c>
      <c r="K111" s="12" t="str">
        <f aca="false">IF(OR(F111="",I111="",E111=""),"",ROUND(IF(E111="Compra",(I111-F111),(F111-I111))*IF(ISNUMBER(SEARCH("JPY",C111)),100,10000),1))</f>
        <v/>
      </c>
      <c r="L111" s="17"/>
      <c r="M111" s="12" t="str">
        <f aca="false">IF(OR(J111="",K111="",J111=0),"",ROUND(K111/J111,2))</f>
        <v/>
      </c>
      <c r="N111" s="18" t="str">
        <f aca="false">IF(L111="","",IF(L111&gt;0,"Ganada",IF(L111&lt;0,"Perdida","Nula")))</f>
        <v/>
      </c>
      <c r="O111" s="15"/>
      <c r="P111" s="14"/>
    </row>
    <row r="112" customFormat="false" ht="15" hidden="false" customHeight="false" outlineLevel="0" collapsed="false">
      <c r="A112" s="12" t="str">
        <f aca="false">IF(B112="","",108)</f>
        <v/>
      </c>
      <c r="B112" s="13"/>
      <c r="C112" s="14"/>
      <c r="D112" s="15"/>
      <c r="E112" s="15"/>
      <c r="F112" s="16"/>
      <c r="G112" s="16"/>
      <c r="H112" s="16"/>
      <c r="I112" s="16"/>
      <c r="J112" s="12" t="str">
        <f aca="false">IF(OR(F112="",G112=""),"",ROUND(ABS(F112-G112)*IF(ISNUMBER(SEARCH("JPY",C112)),100,10000),1))</f>
        <v/>
      </c>
      <c r="K112" s="12" t="str">
        <f aca="false">IF(OR(F112="",I112="",E112=""),"",ROUND(IF(E112="Compra",(I112-F112),(F112-I112))*IF(ISNUMBER(SEARCH("JPY",C112)),100,10000),1))</f>
        <v/>
      </c>
      <c r="L112" s="17"/>
      <c r="M112" s="12" t="str">
        <f aca="false">IF(OR(J112="",K112="",J112=0),"",ROUND(K112/J112,2))</f>
        <v/>
      </c>
      <c r="N112" s="18" t="str">
        <f aca="false">IF(L112="","",IF(L112&gt;0,"Ganada",IF(L112&lt;0,"Perdida","Nula")))</f>
        <v/>
      </c>
      <c r="O112" s="15"/>
      <c r="P112" s="14"/>
    </row>
    <row r="113" customFormat="false" ht="15" hidden="false" customHeight="false" outlineLevel="0" collapsed="false">
      <c r="A113" s="12" t="str">
        <f aca="false">IF(B113="","",109)</f>
        <v/>
      </c>
      <c r="B113" s="13"/>
      <c r="C113" s="14"/>
      <c r="D113" s="15"/>
      <c r="E113" s="15"/>
      <c r="F113" s="16"/>
      <c r="G113" s="16"/>
      <c r="H113" s="16"/>
      <c r="I113" s="16"/>
      <c r="J113" s="12" t="str">
        <f aca="false">IF(OR(F113="",G113=""),"",ROUND(ABS(F113-G113)*IF(ISNUMBER(SEARCH("JPY",C113)),100,10000),1))</f>
        <v/>
      </c>
      <c r="K113" s="12" t="str">
        <f aca="false">IF(OR(F113="",I113="",E113=""),"",ROUND(IF(E113="Compra",(I113-F113),(F113-I113))*IF(ISNUMBER(SEARCH("JPY",C113)),100,10000),1))</f>
        <v/>
      </c>
      <c r="L113" s="17"/>
      <c r="M113" s="12" t="str">
        <f aca="false">IF(OR(J113="",K113="",J113=0),"",ROUND(K113/J113,2))</f>
        <v/>
      </c>
      <c r="N113" s="18" t="str">
        <f aca="false">IF(L113="","",IF(L113&gt;0,"Ganada",IF(L113&lt;0,"Perdida","Nula")))</f>
        <v/>
      </c>
      <c r="O113" s="15"/>
      <c r="P113" s="14"/>
    </row>
    <row r="114" customFormat="false" ht="15" hidden="false" customHeight="false" outlineLevel="0" collapsed="false">
      <c r="A114" s="12" t="str">
        <f aca="false">IF(B114="","",110)</f>
        <v/>
      </c>
      <c r="B114" s="13"/>
      <c r="C114" s="14"/>
      <c r="D114" s="15"/>
      <c r="E114" s="15"/>
      <c r="F114" s="16"/>
      <c r="G114" s="16"/>
      <c r="H114" s="16"/>
      <c r="I114" s="16"/>
      <c r="J114" s="12" t="str">
        <f aca="false">IF(OR(F114="",G114=""),"",ROUND(ABS(F114-G114)*IF(ISNUMBER(SEARCH("JPY",C114)),100,10000),1))</f>
        <v/>
      </c>
      <c r="K114" s="12" t="str">
        <f aca="false">IF(OR(F114="",I114="",E114=""),"",ROUND(IF(E114="Compra",(I114-F114),(F114-I114))*IF(ISNUMBER(SEARCH("JPY",C114)),100,10000),1))</f>
        <v/>
      </c>
      <c r="L114" s="17"/>
      <c r="M114" s="12" t="str">
        <f aca="false">IF(OR(J114="",K114="",J114=0),"",ROUND(K114/J114,2))</f>
        <v/>
      </c>
      <c r="N114" s="18" t="str">
        <f aca="false">IF(L114="","",IF(L114&gt;0,"Ganada",IF(L114&lt;0,"Perdida","Nula")))</f>
        <v/>
      </c>
      <c r="O114" s="15"/>
      <c r="P114" s="14"/>
    </row>
    <row r="115" customFormat="false" ht="15" hidden="false" customHeight="false" outlineLevel="0" collapsed="false">
      <c r="A115" s="12" t="str">
        <f aca="false">IF(B115="","",111)</f>
        <v/>
      </c>
      <c r="B115" s="13"/>
      <c r="C115" s="14"/>
      <c r="D115" s="15"/>
      <c r="E115" s="15"/>
      <c r="F115" s="16"/>
      <c r="G115" s="16"/>
      <c r="H115" s="16"/>
      <c r="I115" s="16"/>
      <c r="J115" s="12" t="str">
        <f aca="false">IF(OR(F115="",G115=""),"",ROUND(ABS(F115-G115)*IF(ISNUMBER(SEARCH("JPY",C115)),100,10000),1))</f>
        <v/>
      </c>
      <c r="K115" s="12" t="str">
        <f aca="false">IF(OR(F115="",I115="",E115=""),"",ROUND(IF(E115="Compra",(I115-F115),(F115-I115))*IF(ISNUMBER(SEARCH("JPY",C115)),100,10000),1))</f>
        <v/>
      </c>
      <c r="L115" s="17"/>
      <c r="M115" s="12" t="str">
        <f aca="false">IF(OR(J115="",K115="",J115=0),"",ROUND(K115/J115,2))</f>
        <v/>
      </c>
      <c r="N115" s="18" t="str">
        <f aca="false">IF(L115="","",IF(L115&gt;0,"Ganada",IF(L115&lt;0,"Perdida","Nula")))</f>
        <v/>
      </c>
      <c r="O115" s="15"/>
      <c r="P115" s="14"/>
    </row>
    <row r="116" customFormat="false" ht="15" hidden="false" customHeight="false" outlineLevel="0" collapsed="false">
      <c r="A116" s="12" t="str">
        <f aca="false">IF(B116="","",112)</f>
        <v/>
      </c>
      <c r="B116" s="13"/>
      <c r="C116" s="14"/>
      <c r="D116" s="15"/>
      <c r="E116" s="15"/>
      <c r="F116" s="16"/>
      <c r="G116" s="16"/>
      <c r="H116" s="16"/>
      <c r="I116" s="16"/>
      <c r="J116" s="12" t="str">
        <f aca="false">IF(OR(F116="",G116=""),"",ROUND(ABS(F116-G116)*IF(ISNUMBER(SEARCH("JPY",C116)),100,10000),1))</f>
        <v/>
      </c>
      <c r="K116" s="12" t="str">
        <f aca="false">IF(OR(F116="",I116="",E116=""),"",ROUND(IF(E116="Compra",(I116-F116),(F116-I116))*IF(ISNUMBER(SEARCH("JPY",C116)),100,10000),1))</f>
        <v/>
      </c>
      <c r="L116" s="17"/>
      <c r="M116" s="12" t="str">
        <f aca="false">IF(OR(J116="",K116="",J116=0),"",ROUND(K116/J116,2))</f>
        <v/>
      </c>
      <c r="N116" s="18" t="str">
        <f aca="false">IF(L116="","",IF(L116&gt;0,"Ganada",IF(L116&lt;0,"Perdida","Nula")))</f>
        <v/>
      </c>
      <c r="O116" s="15"/>
      <c r="P116" s="14"/>
    </row>
    <row r="117" customFormat="false" ht="15" hidden="false" customHeight="false" outlineLevel="0" collapsed="false">
      <c r="A117" s="12" t="str">
        <f aca="false">IF(B117="","",113)</f>
        <v/>
      </c>
      <c r="B117" s="13"/>
      <c r="C117" s="14"/>
      <c r="D117" s="15"/>
      <c r="E117" s="15"/>
      <c r="F117" s="16"/>
      <c r="G117" s="16"/>
      <c r="H117" s="16"/>
      <c r="I117" s="16"/>
      <c r="J117" s="12" t="str">
        <f aca="false">IF(OR(F117="",G117=""),"",ROUND(ABS(F117-G117)*IF(ISNUMBER(SEARCH("JPY",C117)),100,10000),1))</f>
        <v/>
      </c>
      <c r="K117" s="12" t="str">
        <f aca="false">IF(OR(F117="",I117="",E117=""),"",ROUND(IF(E117="Compra",(I117-F117),(F117-I117))*IF(ISNUMBER(SEARCH("JPY",C117)),100,10000),1))</f>
        <v/>
      </c>
      <c r="L117" s="17"/>
      <c r="M117" s="12" t="str">
        <f aca="false">IF(OR(J117="",K117="",J117=0),"",ROUND(K117/J117,2))</f>
        <v/>
      </c>
      <c r="N117" s="18" t="str">
        <f aca="false">IF(L117="","",IF(L117&gt;0,"Ganada",IF(L117&lt;0,"Perdida","Nula")))</f>
        <v/>
      </c>
      <c r="O117" s="15"/>
      <c r="P117" s="14"/>
    </row>
    <row r="118" customFormat="false" ht="15" hidden="false" customHeight="false" outlineLevel="0" collapsed="false">
      <c r="A118" s="12" t="str">
        <f aca="false">IF(B118="","",114)</f>
        <v/>
      </c>
      <c r="B118" s="13"/>
      <c r="C118" s="14"/>
      <c r="D118" s="15"/>
      <c r="E118" s="15"/>
      <c r="F118" s="16"/>
      <c r="G118" s="16"/>
      <c r="H118" s="16"/>
      <c r="I118" s="16"/>
      <c r="J118" s="12" t="str">
        <f aca="false">IF(OR(F118="",G118=""),"",ROUND(ABS(F118-G118)*IF(ISNUMBER(SEARCH("JPY",C118)),100,10000),1))</f>
        <v/>
      </c>
      <c r="K118" s="12" t="str">
        <f aca="false">IF(OR(F118="",I118="",E118=""),"",ROUND(IF(E118="Compra",(I118-F118),(F118-I118))*IF(ISNUMBER(SEARCH("JPY",C118)),100,10000),1))</f>
        <v/>
      </c>
      <c r="L118" s="17"/>
      <c r="M118" s="12" t="str">
        <f aca="false">IF(OR(J118="",K118="",J118=0),"",ROUND(K118/J118,2))</f>
        <v/>
      </c>
      <c r="N118" s="18" t="str">
        <f aca="false">IF(L118="","",IF(L118&gt;0,"Ganada",IF(L118&lt;0,"Perdida","Nula")))</f>
        <v/>
      </c>
      <c r="O118" s="15"/>
      <c r="P118" s="14"/>
    </row>
    <row r="119" customFormat="false" ht="15" hidden="false" customHeight="false" outlineLevel="0" collapsed="false">
      <c r="A119" s="12" t="str">
        <f aca="false">IF(B119="","",115)</f>
        <v/>
      </c>
      <c r="B119" s="13"/>
      <c r="C119" s="14"/>
      <c r="D119" s="15"/>
      <c r="E119" s="15"/>
      <c r="F119" s="16"/>
      <c r="G119" s="16"/>
      <c r="H119" s="16"/>
      <c r="I119" s="16"/>
      <c r="J119" s="12" t="str">
        <f aca="false">IF(OR(F119="",G119=""),"",ROUND(ABS(F119-G119)*IF(ISNUMBER(SEARCH("JPY",C119)),100,10000),1))</f>
        <v/>
      </c>
      <c r="K119" s="12" t="str">
        <f aca="false">IF(OR(F119="",I119="",E119=""),"",ROUND(IF(E119="Compra",(I119-F119),(F119-I119))*IF(ISNUMBER(SEARCH("JPY",C119)),100,10000),1))</f>
        <v/>
      </c>
      <c r="L119" s="17"/>
      <c r="M119" s="12" t="str">
        <f aca="false">IF(OR(J119="",K119="",J119=0),"",ROUND(K119/J119,2))</f>
        <v/>
      </c>
      <c r="N119" s="18" t="str">
        <f aca="false">IF(L119="","",IF(L119&gt;0,"Ganada",IF(L119&lt;0,"Perdida","Nula")))</f>
        <v/>
      </c>
      <c r="O119" s="15"/>
      <c r="P119" s="14"/>
    </row>
    <row r="120" customFormat="false" ht="15" hidden="false" customHeight="false" outlineLevel="0" collapsed="false">
      <c r="A120" s="12" t="str">
        <f aca="false">IF(B120="","",116)</f>
        <v/>
      </c>
      <c r="B120" s="13"/>
      <c r="C120" s="14"/>
      <c r="D120" s="15"/>
      <c r="E120" s="15"/>
      <c r="F120" s="16"/>
      <c r="G120" s="16"/>
      <c r="H120" s="16"/>
      <c r="I120" s="16"/>
      <c r="J120" s="12" t="str">
        <f aca="false">IF(OR(F120="",G120=""),"",ROUND(ABS(F120-G120)*IF(ISNUMBER(SEARCH("JPY",C120)),100,10000),1))</f>
        <v/>
      </c>
      <c r="K120" s="12" t="str">
        <f aca="false">IF(OR(F120="",I120="",E120=""),"",ROUND(IF(E120="Compra",(I120-F120),(F120-I120))*IF(ISNUMBER(SEARCH("JPY",C120)),100,10000),1))</f>
        <v/>
      </c>
      <c r="L120" s="17"/>
      <c r="M120" s="12" t="str">
        <f aca="false">IF(OR(J120="",K120="",J120=0),"",ROUND(K120/J120,2))</f>
        <v/>
      </c>
      <c r="N120" s="18" t="str">
        <f aca="false">IF(L120="","",IF(L120&gt;0,"Ganada",IF(L120&lt;0,"Perdida","Nula")))</f>
        <v/>
      </c>
      <c r="O120" s="15"/>
      <c r="P120" s="14"/>
    </row>
    <row r="121" customFormat="false" ht="15" hidden="false" customHeight="false" outlineLevel="0" collapsed="false">
      <c r="A121" s="12" t="str">
        <f aca="false">IF(B121="","",117)</f>
        <v/>
      </c>
      <c r="B121" s="13"/>
      <c r="C121" s="14"/>
      <c r="D121" s="15"/>
      <c r="E121" s="15"/>
      <c r="F121" s="16"/>
      <c r="G121" s="16"/>
      <c r="H121" s="16"/>
      <c r="I121" s="16"/>
      <c r="J121" s="12" t="str">
        <f aca="false">IF(OR(F121="",G121=""),"",ROUND(ABS(F121-G121)*IF(ISNUMBER(SEARCH("JPY",C121)),100,10000),1))</f>
        <v/>
      </c>
      <c r="K121" s="12" t="str">
        <f aca="false">IF(OR(F121="",I121="",E121=""),"",ROUND(IF(E121="Compra",(I121-F121),(F121-I121))*IF(ISNUMBER(SEARCH("JPY",C121)),100,10000),1))</f>
        <v/>
      </c>
      <c r="L121" s="17"/>
      <c r="M121" s="12" t="str">
        <f aca="false">IF(OR(J121="",K121="",J121=0),"",ROUND(K121/J121,2))</f>
        <v/>
      </c>
      <c r="N121" s="18" t="str">
        <f aca="false">IF(L121="","",IF(L121&gt;0,"Ganada",IF(L121&lt;0,"Perdida","Nula")))</f>
        <v/>
      </c>
      <c r="O121" s="15"/>
      <c r="P121" s="14"/>
    </row>
    <row r="122" customFormat="false" ht="15" hidden="false" customHeight="false" outlineLevel="0" collapsed="false">
      <c r="A122" s="12" t="str">
        <f aca="false">IF(B122="","",118)</f>
        <v/>
      </c>
      <c r="B122" s="13"/>
      <c r="C122" s="14"/>
      <c r="D122" s="15"/>
      <c r="E122" s="15"/>
      <c r="F122" s="16"/>
      <c r="G122" s="16"/>
      <c r="H122" s="16"/>
      <c r="I122" s="16"/>
      <c r="J122" s="12" t="str">
        <f aca="false">IF(OR(F122="",G122=""),"",ROUND(ABS(F122-G122)*IF(ISNUMBER(SEARCH("JPY",C122)),100,10000),1))</f>
        <v/>
      </c>
      <c r="K122" s="12" t="str">
        <f aca="false">IF(OR(F122="",I122="",E122=""),"",ROUND(IF(E122="Compra",(I122-F122),(F122-I122))*IF(ISNUMBER(SEARCH("JPY",C122)),100,10000),1))</f>
        <v/>
      </c>
      <c r="L122" s="17"/>
      <c r="M122" s="12" t="str">
        <f aca="false">IF(OR(J122="",K122="",J122=0),"",ROUND(K122/J122,2))</f>
        <v/>
      </c>
      <c r="N122" s="18" t="str">
        <f aca="false">IF(L122="","",IF(L122&gt;0,"Ganada",IF(L122&lt;0,"Perdida","Nula")))</f>
        <v/>
      </c>
      <c r="O122" s="15"/>
      <c r="P122" s="14"/>
    </row>
    <row r="123" customFormat="false" ht="15" hidden="false" customHeight="false" outlineLevel="0" collapsed="false">
      <c r="A123" s="12" t="str">
        <f aca="false">IF(B123="","",119)</f>
        <v/>
      </c>
      <c r="B123" s="13"/>
      <c r="C123" s="14"/>
      <c r="D123" s="15"/>
      <c r="E123" s="15"/>
      <c r="F123" s="16"/>
      <c r="G123" s="16"/>
      <c r="H123" s="16"/>
      <c r="I123" s="16"/>
      <c r="J123" s="12" t="str">
        <f aca="false">IF(OR(F123="",G123=""),"",ROUND(ABS(F123-G123)*IF(ISNUMBER(SEARCH("JPY",C123)),100,10000),1))</f>
        <v/>
      </c>
      <c r="K123" s="12" t="str">
        <f aca="false">IF(OR(F123="",I123="",E123=""),"",ROUND(IF(E123="Compra",(I123-F123),(F123-I123))*IF(ISNUMBER(SEARCH("JPY",C123)),100,10000),1))</f>
        <v/>
      </c>
      <c r="L123" s="17"/>
      <c r="M123" s="12" t="str">
        <f aca="false">IF(OR(J123="",K123="",J123=0),"",ROUND(K123/J123,2))</f>
        <v/>
      </c>
      <c r="N123" s="18" t="str">
        <f aca="false">IF(L123="","",IF(L123&gt;0,"Ganada",IF(L123&lt;0,"Perdida","Nula")))</f>
        <v/>
      </c>
      <c r="O123" s="15"/>
      <c r="P123" s="14"/>
    </row>
    <row r="124" customFormat="false" ht="15" hidden="false" customHeight="false" outlineLevel="0" collapsed="false">
      <c r="A124" s="12" t="str">
        <f aca="false">IF(B124="","",120)</f>
        <v/>
      </c>
      <c r="B124" s="13"/>
      <c r="C124" s="14"/>
      <c r="D124" s="15"/>
      <c r="E124" s="15"/>
      <c r="F124" s="16"/>
      <c r="G124" s="16"/>
      <c r="H124" s="16"/>
      <c r="I124" s="16"/>
      <c r="J124" s="12" t="str">
        <f aca="false">IF(OR(F124="",G124=""),"",ROUND(ABS(F124-G124)*IF(ISNUMBER(SEARCH("JPY",C124)),100,10000),1))</f>
        <v/>
      </c>
      <c r="K124" s="12" t="str">
        <f aca="false">IF(OR(F124="",I124="",E124=""),"",ROUND(IF(E124="Compra",(I124-F124),(F124-I124))*IF(ISNUMBER(SEARCH("JPY",C124)),100,10000),1))</f>
        <v/>
      </c>
      <c r="L124" s="17"/>
      <c r="M124" s="12" t="str">
        <f aca="false">IF(OR(J124="",K124="",J124=0),"",ROUND(K124/J124,2))</f>
        <v/>
      </c>
      <c r="N124" s="18" t="str">
        <f aca="false">IF(L124="","",IF(L124&gt;0,"Ganada",IF(L124&lt;0,"Perdida","Nula")))</f>
        <v/>
      </c>
      <c r="O124" s="15"/>
      <c r="P124" s="14"/>
    </row>
    <row r="125" customFormat="false" ht="15" hidden="false" customHeight="false" outlineLevel="0" collapsed="false">
      <c r="A125" s="12" t="str">
        <f aca="false">IF(B125="","",121)</f>
        <v/>
      </c>
      <c r="B125" s="13"/>
      <c r="C125" s="14"/>
      <c r="D125" s="15"/>
      <c r="E125" s="15"/>
      <c r="F125" s="16"/>
      <c r="G125" s="16"/>
      <c r="H125" s="16"/>
      <c r="I125" s="16"/>
      <c r="J125" s="12" t="str">
        <f aca="false">IF(OR(F125="",G125=""),"",ROUND(ABS(F125-G125)*IF(ISNUMBER(SEARCH("JPY",C125)),100,10000),1))</f>
        <v/>
      </c>
      <c r="K125" s="12" t="str">
        <f aca="false">IF(OR(F125="",I125="",E125=""),"",ROUND(IF(E125="Compra",(I125-F125),(F125-I125))*IF(ISNUMBER(SEARCH("JPY",C125)),100,10000),1))</f>
        <v/>
      </c>
      <c r="L125" s="17"/>
      <c r="M125" s="12" t="str">
        <f aca="false">IF(OR(J125="",K125="",J125=0),"",ROUND(K125/J125,2))</f>
        <v/>
      </c>
      <c r="N125" s="18" t="str">
        <f aca="false">IF(L125="","",IF(L125&gt;0,"Ganada",IF(L125&lt;0,"Perdida","Nula")))</f>
        <v/>
      </c>
      <c r="O125" s="15"/>
      <c r="P125" s="14"/>
    </row>
    <row r="126" customFormat="false" ht="15" hidden="false" customHeight="false" outlineLevel="0" collapsed="false">
      <c r="A126" s="12" t="str">
        <f aca="false">IF(B126="","",122)</f>
        <v/>
      </c>
      <c r="B126" s="13"/>
      <c r="C126" s="14"/>
      <c r="D126" s="15"/>
      <c r="E126" s="15"/>
      <c r="F126" s="16"/>
      <c r="G126" s="16"/>
      <c r="H126" s="16"/>
      <c r="I126" s="16"/>
      <c r="J126" s="12" t="str">
        <f aca="false">IF(OR(F126="",G126=""),"",ROUND(ABS(F126-G126)*IF(ISNUMBER(SEARCH("JPY",C126)),100,10000),1))</f>
        <v/>
      </c>
      <c r="K126" s="12" t="str">
        <f aca="false">IF(OR(F126="",I126="",E126=""),"",ROUND(IF(E126="Compra",(I126-F126),(F126-I126))*IF(ISNUMBER(SEARCH("JPY",C126)),100,10000),1))</f>
        <v/>
      </c>
      <c r="L126" s="17"/>
      <c r="M126" s="12" t="str">
        <f aca="false">IF(OR(J126="",K126="",J126=0),"",ROUND(K126/J126,2))</f>
        <v/>
      </c>
      <c r="N126" s="18" t="str">
        <f aca="false">IF(L126="","",IF(L126&gt;0,"Ganada",IF(L126&lt;0,"Perdida","Nula")))</f>
        <v/>
      </c>
      <c r="O126" s="15"/>
      <c r="P126" s="14"/>
    </row>
    <row r="127" customFormat="false" ht="15" hidden="false" customHeight="false" outlineLevel="0" collapsed="false">
      <c r="A127" s="12" t="str">
        <f aca="false">IF(B127="","",123)</f>
        <v/>
      </c>
      <c r="B127" s="13"/>
      <c r="C127" s="14"/>
      <c r="D127" s="15"/>
      <c r="E127" s="15"/>
      <c r="F127" s="16"/>
      <c r="G127" s="16"/>
      <c r="H127" s="16"/>
      <c r="I127" s="16"/>
      <c r="J127" s="12" t="str">
        <f aca="false">IF(OR(F127="",G127=""),"",ROUND(ABS(F127-G127)*IF(ISNUMBER(SEARCH("JPY",C127)),100,10000),1))</f>
        <v/>
      </c>
      <c r="K127" s="12" t="str">
        <f aca="false">IF(OR(F127="",I127="",E127=""),"",ROUND(IF(E127="Compra",(I127-F127),(F127-I127))*IF(ISNUMBER(SEARCH("JPY",C127)),100,10000),1))</f>
        <v/>
      </c>
      <c r="L127" s="17"/>
      <c r="M127" s="12" t="str">
        <f aca="false">IF(OR(J127="",K127="",J127=0),"",ROUND(K127/J127,2))</f>
        <v/>
      </c>
      <c r="N127" s="18" t="str">
        <f aca="false">IF(L127="","",IF(L127&gt;0,"Ganada",IF(L127&lt;0,"Perdida","Nula")))</f>
        <v/>
      </c>
      <c r="O127" s="15"/>
      <c r="P127" s="14"/>
    </row>
    <row r="128" customFormat="false" ht="15" hidden="false" customHeight="false" outlineLevel="0" collapsed="false">
      <c r="A128" s="12" t="str">
        <f aca="false">IF(B128="","",124)</f>
        <v/>
      </c>
      <c r="B128" s="13"/>
      <c r="C128" s="14"/>
      <c r="D128" s="15"/>
      <c r="E128" s="15"/>
      <c r="F128" s="16"/>
      <c r="G128" s="16"/>
      <c r="H128" s="16"/>
      <c r="I128" s="16"/>
      <c r="J128" s="12" t="str">
        <f aca="false">IF(OR(F128="",G128=""),"",ROUND(ABS(F128-G128)*IF(ISNUMBER(SEARCH("JPY",C128)),100,10000),1))</f>
        <v/>
      </c>
      <c r="K128" s="12" t="str">
        <f aca="false">IF(OR(F128="",I128="",E128=""),"",ROUND(IF(E128="Compra",(I128-F128),(F128-I128))*IF(ISNUMBER(SEARCH("JPY",C128)),100,10000),1))</f>
        <v/>
      </c>
      <c r="L128" s="17"/>
      <c r="M128" s="12" t="str">
        <f aca="false">IF(OR(J128="",K128="",J128=0),"",ROUND(K128/J128,2))</f>
        <v/>
      </c>
      <c r="N128" s="18" t="str">
        <f aca="false">IF(L128="","",IF(L128&gt;0,"Ganada",IF(L128&lt;0,"Perdida","Nula")))</f>
        <v/>
      </c>
      <c r="O128" s="15"/>
      <c r="P128" s="14"/>
    </row>
    <row r="129" customFormat="false" ht="15" hidden="false" customHeight="false" outlineLevel="0" collapsed="false">
      <c r="A129" s="12" t="str">
        <f aca="false">IF(B129="","",125)</f>
        <v/>
      </c>
      <c r="B129" s="13"/>
      <c r="C129" s="14"/>
      <c r="D129" s="15"/>
      <c r="E129" s="15"/>
      <c r="F129" s="16"/>
      <c r="G129" s="16"/>
      <c r="H129" s="16"/>
      <c r="I129" s="16"/>
      <c r="J129" s="12" t="str">
        <f aca="false">IF(OR(F129="",G129=""),"",ROUND(ABS(F129-G129)*IF(ISNUMBER(SEARCH("JPY",C129)),100,10000),1))</f>
        <v/>
      </c>
      <c r="K129" s="12" t="str">
        <f aca="false">IF(OR(F129="",I129="",E129=""),"",ROUND(IF(E129="Compra",(I129-F129),(F129-I129))*IF(ISNUMBER(SEARCH("JPY",C129)),100,10000),1))</f>
        <v/>
      </c>
      <c r="L129" s="17"/>
      <c r="M129" s="12" t="str">
        <f aca="false">IF(OR(J129="",K129="",J129=0),"",ROUND(K129/J129,2))</f>
        <v/>
      </c>
      <c r="N129" s="18" t="str">
        <f aca="false">IF(L129="","",IF(L129&gt;0,"Ganada",IF(L129&lt;0,"Perdida","Nula")))</f>
        <v/>
      </c>
      <c r="O129" s="15"/>
      <c r="P129" s="14"/>
    </row>
    <row r="130" customFormat="false" ht="15" hidden="false" customHeight="false" outlineLevel="0" collapsed="false">
      <c r="A130" s="12" t="str">
        <f aca="false">IF(B130="","",126)</f>
        <v/>
      </c>
      <c r="B130" s="13"/>
      <c r="C130" s="14"/>
      <c r="D130" s="15"/>
      <c r="E130" s="15"/>
      <c r="F130" s="16"/>
      <c r="G130" s="16"/>
      <c r="H130" s="16"/>
      <c r="I130" s="16"/>
      <c r="J130" s="12" t="str">
        <f aca="false">IF(OR(F130="",G130=""),"",ROUND(ABS(F130-G130)*IF(ISNUMBER(SEARCH("JPY",C130)),100,10000),1))</f>
        <v/>
      </c>
      <c r="K130" s="12" t="str">
        <f aca="false">IF(OR(F130="",I130="",E130=""),"",ROUND(IF(E130="Compra",(I130-F130),(F130-I130))*IF(ISNUMBER(SEARCH("JPY",C130)),100,10000),1))</f>
        <v/>
      </c>
      <c r="L130" s="17"/>
      <c r="M130" s="12" t="str">
        <f aca="false">IF(OR(J130="",K130="",J130=0),"",ROUND(K130/J130,2))</f>
        <v/>
      </c>
      <c r="N130" s="18" t="str">
        <f aca="false">IF(L130="","",IF(L130&gt;0,"Ganada",IF(L130&lt;0,"Perdida","Nula")))</f>
        <v/>
      </c>
      <c r="O130" s="15"/>
      <c r="P130" s="14"/>
    </row>
    <row r="131" customFormat="false" ht="15" hidden="false" customHeight="false" outlineLevel="0" collapsed="false">
      <c r="A131" s="12" t="str">
        <f aca="false">IF(B131="","",127)</f>
        <v/>
      </c>
      <c r="B131" s="13"/>
      <c r="C131" s="14"/>
      <c r="D131" s="15"/>
      <c r="E131" s="15"/>
      <c r="F131" s="16"/>
      <c r="G131" s="16"/>
      <c r="H131" s="16"/>
      <c r="I131" s="16"/>
      <c r="J131" s="12" t="str">
        <f aca="false">IF(OR(F131="",G131=""),"",ROUND(ABS(F131-G131)*IF(ISNUMBER(SEARCH("JPY",C131)),100,10000),1))</f>
        <v/>
      </c>
      <c r="K131" s="12" t="str">
        <f aca="false">IF(OR(F131="",I131="",E131=""),"",ROUND(IF(E131="Compra",(I131-F131),(F131-I131))*IF(ISNUMBER(SEARCH("JPY",C131)),100,10000),1))</f>
        <v/>
      </c>
      <c r="L131" s="17"/>
      <c r="M131" s="12" t="str">
        <f aca="false">IF(OR(J131="",K131="",J131=0),"",ROUND(K131/J131,2))</f>
        <v/>
      </c>
      <c r="N131" s="18" t="str">
        <f aca="false">IF(L131="","",IF(L131&gt;0,"Ganada",IF(L131&lt;0,"Perdida","Nula")))</f>
        <v/>
      </c>
      <c r="O131" s="15"/>
      <c r="P131" s="14"/>
    </row>
    <row r="132" customFormat="false" ht="15" hidden="false" customHeight="false" outlineLevel="0" collapsed="false">
      <c r="A132" s="12" t="str">
        <f aca="false">IF(B132="","",128)</f>
        <v/>
      </c>
      <c r="B132" s="13"/>
      <c r="C132" s="14"/>
      <c r="D132" s="15"/>
      <c r="E132" s="15"/>
      <c r="F132" s="16"/>
      <c r="G132" s="16"/>
      <c r="H132" s="16"/>
      <c r="I132" s="16"/>
      <c r="J132" s="12" t="str">
        <f aca="false">IF(OR(F132="",G132=""),"",ROUND(ABS(F132-G132)*IF(ISNUMBER(SEARCH("JPY",C132)),100,10000),1))</f>
        <v/>
      </c>
      <c r="K132" s="12" t="str">
        <f aca="false">IF(OR(F132="",I132="",E132=""),"",ROUND(IF(E132="Compra",(I132-F132),(F132-I132))*IF(ISNUMBER(SEARCH("JPY",C132)),100,10000),1))</f>
        <v/>
      </c>
      <c r="L132" s="17"/>
      <c r="M132" s="12" t="str">
        <f aca="false">IF(OR(J132="",K132="",J132=0),"",ROUND(K132/J132,2))</f>
        <v/>
      </c>
      <c r="N132" s="18" t="str">
        <f aca="false">IF(L132="","",IF(L132&gt;0,"Ganada",IF(L132&lt;0,"Perdida","Nula")))</f>
        <v/>
      </c>
      <c r="O132" s="15"/>
      <c r="P132" s="14"/>
    </row>
    <row r="133" customFormat="false" ht="15" hidden="false" customHeight="false" outlineLevel="0" collapsed="false">
      <c r="A133" s="12" t="str">
        <f aca="false">IF(B133="","",129)</f>
        <v/>
      </c>
      <c r="B133" s="13"/>
      <c r="C133" s="14"/>
      <c r="D133" s="15"/>
      <c r="E133" s="15"/>
      <c r="F133" s="16"/>
      <c r="G133" s="16"/>
      <c r="H133" s="16"/>
      <c r="I133" s="16"/>
      <c r="J133" s="12" t="str">
        <f aca="false">IF(OR(F133="",G133=""),"",ROUND(ABS(F133-G133)*IF(ISNUMBER(SEARCH("JPY",C133)),100,10000),1))</f>
        <v/>
      </c>
      <c r="K133" s="12" t="str">
        <f aca="false">IF(OR(F133="",I133="",E133=""),"",ROUND(IF(E133="Compra",(I133-F133),(F133-I133))*IF(ISNUMBER(SEARCH("JPY",C133)),100,10000),1))</f>
        <v/>
      </c>
      <c r="L133" s="17"/>
      <c r="M133" s="12" t="str">
        <f aca="false">IF(OR(J133="",K133="",J133=0),"",ROUND(K133/J133,2))</f>
        <v/>
      </c>
      <c r="N133" s="18" t="str">
        <f aca="false">IF(L133="","",IF(L133&gt;0,"Ganada",IF(L133&lt;0,"Perdida","Nula")))</f>
        <v/>
      </c>
      <c r="O133" s="15"/>
      <c r="P133" s="14"/>
    </row>
    <row r="134" customFormat="false" ht="15" hidden="false" customHeight="false" outlineLevel="0" collapsed="false">
      <c r="A134" s="12" t="str">
        <f aca="false">IF(B134="","",130)</f>
        <v/>
      </c>
      <c r="B134" s="13"/>
      <c r="C134" s="14"/>
      <c r="D134" s="15"/>
      <c r="E134" s="15"/>
      <c r="F134" s="16"/>
      <c r="G134" s="16"/>
      <c r="H134" s="16"/>
      <c r="I134" s="16"/>
      <c r="J134" s="12" t="str">
        <f aca="false">IF(OR(F134="",G134=""),"",ROUND(ABS(F134-G134)*IF(ISNUMBER(SEARCH("JPY",C134)),100,10000),1))</f>
        <v/>
      </c>
      <c r="K134" s="12" t="str">
        <f aca="false">IF(OR(F134="",I134="",E134=""),"",ROUND(IF(E134="Compra",(I134-F134),(F134-I134))*IF(ISNUMBER(SEARCH("JPY",C134)),100,10000),1))</f>
        <v/>
      </c>
      <c r="L134" s="17"/>
      <c r="M134" s="12" t="str">
        <f aca="false">IF(OR(J134="",K134="",J134=0),"",ROUND(K134/J134,2))</f>
        <v/>
      </c>
      <c r="N134" s="18" t="str">
        <f aca="false">IF(L134="","",IF(L134&gt;0,"Ganada",IF(L134&lt;0,"Perdida","Nula")))</f>
        <v/>
      </c>
      <c r="O134" s="15"/>
      <c r="P134" s="14"/>
    </row>
    <row r="135" customFormat="false" ht="15" hidden="false" customHeight="false" outlineLevel="0" collapsed="false">
      <c r="A135" s="12" t="str">
        <f aca="false">IF(B135="","",131)</f>
        <v/>
      </c>
      <c r="B135" s="13"/>
      <c r="C135" s="14"/>
      <c r="D135" s="15"/>
      <c r="E135" s="15"/>
      <c r="F135" s="16"/>
      <c r="G135" s="16"/>
      <c r="H135" s="16"/>
      <c r="I135" s="16"/>
      <c r="J135" s="12" t="str">
        <f aca="false">IF(OR(F135="",G135=""),"",ROUND(ABS(F135-G135)*IF(ISNUMBER(SEARCH("JPY",C135)),100,10000),1))</f>
        <v/>
      </c>
      <c r="K135" s="12" t="str">
        <f aca="false">IF(OR(F135="",I135="",E135=""),"",ROUND(IF(E135="Compra",(I135-F135),(F135-I135))*IF(ISNUMBER(SEARCH("JPY",C135)),100,10000),1))</f>
        <v/>
      </c>
      <c r="L135" s="17"/>
      <c r="M135" s="12" t="str">
        <f aca="false">IF(OR(J135="",K135="",J135=0),"",ROUND(K135/J135,2))</f>
        <v/>
      </c>
      <c r="N135" s="18" t="str">
        <f aca="false">IF(L135="","",IF(L135&gt;0,"Ganada",IF(L135&lt;0,"Perdida","Nula")))</f>
        <v/>
      </c>
      <c r="O135" s="15"/>
      <c r="P135" s="14"/>
    </row>
    <row r="136" customFormat="false" ht="15" hidden="false" customHeight="false" outlineLevel="0" collapsed="false">
      <c r="A136" s="12" t="str">
        <f aca="false">IF(B136="","",132)</f>
        <v/>
      </c>
      <c r="B136" s="13"/>
      <c r="C136" s="14"/>
      <c r="D136" s="15"/>
      <c r="E136" s="15"/>
      <c r="F136" s="16"/>
      <c r="G136" s="16"/>
      <c r="H136" s="16"/>
      <c r="I136" s="16"/>
      <c r="J136" s="12" t="str">
        <f aca="false">IF(OR(F136="",G136=""),"",ROUND(ABS(F136-G136)*IF(ISNUMBER(SEARCH("JPY",C136)),100,10000),1))</f>
        <v/>
      </c>
      <c r="K136" s="12" t="str">
        <f aca="false">IF(OR(F136="",I136="",E136=""),"",ROUND(IF(E136="Compra",(I136-F136),(F136-I136))*IF(ISNUMBER(SEARCH("JPY",C136)),100,10000),1))</f>
        <v/>
      </c>
      <c r="L136" s="17"/>
      <c r="M136" s="12" t="str">
        <f aca="false">IF(OR(J136="",K136="",J136=0),"",ROUND(K136/J136,2))</f>
        <v/>
      </c>
      <c r="N136" s="18" t="str">
        <f aca="false">IF(L136="","",IF(L136&gt;0,"Ganada",IF(L136&lt;0,"Perdida","Nula")))</f>
        <v/>
      </c>
      <c r="O136" s="15"/>
      <c r="P136" s="14"/>
    </row>
    <row r="137" customFormat="false" ht="15" hidden="false" customHeight="false" outlineLevel="0" collapsed="false">
      <c r="A137" s="12" t="str">
        <f aca="false">IF(B137="","",133)</f>
        <v/>
      </c>
      <c r="B137" s="13"/>
      <c r="C137" s="14"/>
      <c r="D137" s="15"/>
      <c r="E137" s="15"/>
      <c r="F137" s="16"/>
      <c r="G137" s="16"/>
      <c r="H137" s="16"/>
      <c r="I137" s="16"/>
      <c r="J137" s="12" t="str">
        <f aca="false">IF(OR(F137="",G137=""),"",ROUND(ABS(F137-G137)*IF(ISNUMBER(SEARCH("JPY",C137)),100,10000),1))</f>
        <v/>
      </c>
      <c r="K137" s="12" t="str">
        <f aca="false">IF(OR(F137="",I137="",E137=""),"",ROUND(IF(E137="Compra",(I137-F137),(F137-I137))*IF(ISNUMBER(SEARCH("JPY",C137)),100,10000),1))</f>
        <v/>
      </c>
      <c r="L137" s="17"/>
      <c r="M137" s="12" t="str">
        <f aca="false">IF(OR(J137="",K137="",J137=0),"",ROUND(K137/J137,2))</f>
        <v/>
      </c>
      <c r="N137" s="18" t="str">
        <f aca="false">IF(L137="","",IF(L137&gt;0,"Ganada",IF(L137&lt;0,"Perdida","Nula")))</f>
        <v/>
      </c>
      <c r="O137" s="15"/>
      <c r="P137" s="14"/>
    </row>
    <row r="138" customFormat="false" ht="15" hidden="false" customHeight="false" outlineLevel="0" collapsed="false">
      <c r="A138" s="12" t="str">
        <f aca="false">IF(B138="","",134)</f>
        <v/>
      </c>
      <c r="B138" s="13"/>
      <c r="C138" s="14"/>
      <c r="D138" s="15"/>
      <c r="E138" s="15"/>
      <c r="F138" s="16"/>
      <c r="G138" s="16"/>
      <c r="H138" s="16"/>
      <c r="I138" s="16"/>
      <c r="J138" s="12" t="str">
        <f aca="false">IF(OR(F138="",G138=""),"",ROUND(ABS(F138-G138)*IF(ISNUMBER(SEARCH("JPY",C138)),100,10000),1))</f>
        <v/>
      </c>
      <c r="K138" s="12" t="str">
        <f aca="false">IF(OR(F138="",I138="",E138=""),"",ROUND(IF(E138="Compra",(I138-F138),(F138-I138))*IF(ISNUMBER(SEARCH("JPY",C138)),100,10000),1))</f>
        <v/>
      </c>
      <c r="L138" s="17"/>
      <c r="M138" s="12" t="str">
        <f aca="false">IF(OR(J138="",K138="",J138=0),"",ROUND(K138/J138,2))</f>
        <v/>
      </c>
      <c r="N138" s="18" t="str">
        <f aca="false">IF(L138="","",IF(L138&gt;0,"Ganada",IF(L138&lt;0,"Perdida","Nula")))</f>
        <v/>
      </c>
      <c r="O138" s="15"/>
      <c r="P138" s="14"/>
    </row>
    <row r="139" customFormat="false" ht="15" hidden="false" customHeight="false" outlineLevel="0" collapsed="false">
      <c r="A139" s="12" t="str">
        <f aca="false">IF(B139="","",135)</f>
        <v/>
      </c>
      <c r="B139" s="13"/>
      <c r="C139" s="14"/>
      <c r="D139" s="15"/>
      <c r="E139" s="15"/>
      <c r="F139" s="16"/>
      <c r="G139" s="16"/>
      <c r="H139" s="16"/>
      <c r="I139" s="16"/>
      <c r="J139" s="12" t="str">
        <f aca="false">IF(OR(F139="",G139=""),"",ROUND(ABS(F139-G139)*IF(ISNUMBER(SEARCH("JPY",C139)),100,10000),1))</f>
        <v/>
      </c>
      <c r="K139" s="12" t="str">
        <f aca="false">IF(OR(F139="",I139="",E139=""),"",ROUND(IF(E139="Compra",(I139-F139),(F139-I139))*IF(ISNUMBER(SEARCH("JPY",C139)),100,10000),1))</f>
        <v/>
      </c>
      <c r="L139" s="17"/>
      <c r="M139" s="12" t="str">
        <f aca="false">IF(OR(J139="",K139="",J139=0),"",ROUND(K139/J139,2))</f>
        <v/>
      </c>
      <c r="N139" s="18" t="str">
        <f aca="false">IF(L139="","",IF(L139&gt;0,"Ganada",IF(L139&lt;0,"Perdida","Nula")))</f>
        <v/>
      </c>
      <c r="O139" s="15"/>
      <c r="P139" s="14"/>
    </row>
    <row r="140" customFormat="false" ht="15" hidden="false" customHeight="false" outlineLevel="0" collapsed="false">
      <c r="A140" s="12" t="str">
        <f aca="false">IF(B140="","",136)</f>
        <v/>
      </c>
      <c r="B140" s="13"/>
      <c r="C140" s="14"/>
      <c r="D140" s="15"/>
      <c r="E140" s="15"/>
      <c r="F140" s="16"/>
      <c r="G140" s="16"/>
      <c r="H140" s="16"/>
      <c r="I140" s="16"/>
      <c r="J140" s="12" t="str">
        <f aca="false">IF(OR(F140="",G140=""),"",ROUND(ABS(F140-G140)*IF(ISNUMBER(SEARCH("JPY",C140)),100,10000),1))</f>
        <v/>
      </c>
      <c r="K140" s="12" t="str">
        <f aca="false">IF(OR(F140="",I140="",E140=""),"",ROUND(IF(E140="Compra",(I140-F140),(F140-I140))*IF(ISNUMBER(SEARCH("JPY",C140)),100,10000),1))</f>
        <v/>
      </c>
      <c r="L140" s="17"/>
      <c r="M140" s="12" t="str">
        <f aca="false">IF(OR(J140="",K140="",J140=0),"",ROUND(K140/J140,2))</f>
        <v/>
      </c>
      <c r="N140" s="18" t="str">
        <f aca="false">IF(L140="","",IF(L140&gt;0,"Ganada",IF(L140&lt;0,"Perdida","Nula")))</f>
        <v/>
      </c>
      <c r="O140" s="15"/>
      <c r="P140" s="14"/>
    </row>
    <row r="141" customFormat="false" ht="15" hidden="false" customHeight="false" outlineLevel="0" collapsed="false">
      <c r="A141" s="12" t="str">
        <f aca="false">IF(B141="","",137)</f>
        <v/>
      </c>
      <c r="B141" s="13"/>
      <c r="C141" s="14"/>
      <c r="D141" s="15"/>
      <c r="E141" s="15"/>
      <c r="F141" s="16"/>
      <c r="G141" s="16"/>
      <c r="H141" s="16"/>
      <c r="I141" s="16"/>
      <c r="J141" s="12" t="str">
        <f aca="false">IF(OR(F141="",G141=""),"",ROUND(ABS(F141-G141)*IF(ISNUMBER(SEARCH("JPY",C141)),100,10000),1))</f>
        <v/>
      </c>
      <c r="K141" s="12" t="str">
        <f aca="false">IF(OR(F141="",I141="",E141=""),"",ROUND(IF(E141="Compra",(I141-F141),(F141-I141))*IF(ISNUMBER(SEARCH("JPY",C141)),100,10000),1))</f>
        <v/>
      </c>
      <c r="L141" s="17"/>
      <c r="M141" s="12" t="str">
        <f aca="false">IF(OR(J141="",K141="",J141=0),"",ROUND(K141/J141,2))</f>
        <v/>
      </c>
      <c r="N141" s="18" t="str">
        <f aca="false">IF(L141="","",IF(L141&gt;0,"Ganada",IF(L141&lt;0,"Perdida","Nula")))</f>
        <v/>
      </c>
      <c r="O141" s="15"/>
      <c r="P141" s="14"/>
    </row>
    <row r="142" customFormat="false" ht="15" hidden="false" customHeight="false" outlineLevel="0" collapsed="false">
      <c r="A142" s="12" t="str">
        <f aca="false">IF(B142="","",138)</f>
        <v/>
      </c>
      <c r="B142" s="13"/>
      <c r="C142" s="14"/>
      <c r="D142" s="15"/>
      <c r="E142" s="15"/>
      <c r="F142" s="16"/>
      <c r="G142" s="16"/>
      <c r="H142" s="16"/>
      <c r="I142" s="16"/>
      <c r="J142" s="12" t="str">
        <f aca="false">IF(OR(F142="",G142=""),"",ROUND(ABS(F142-G142)*IF(ISNUMBER(SEARCH("JPY",C142)),100,10000),1))</f>
        <v/>
      </c>
      <c r="K142" s="12" t="str">
        <f aca="false">IF(OR(F142="",I142="",E142=""),"",ROUND(IF(E142="Compra",(I142-F142),(F142-I142))*IF(ISNUMBER(SEARCH("JPY",C142)),100,10000),1))</f>
        <v/>
      </c>
      <c r="L142" s="17"/>
      <c r="M142" s="12" t="str">
        <f aca="false">IF(OR(J142="",K142="",J142=0),"",ROUND(K142/J142,2))</f>
        <v/>
      </c>
      <c r="N142" s="18" t="str">
        <f aca="false">IF(L142="","",IF(L142&gt;0,"Ganada",IF(L142&lt;0,"Perdida","Nula")))</f>
        <v/>
      </c>
      <c r="O142" s="15"/>
      <c r="P142" s="14"/>
    </row>
    <row r="143" customFormat="false" ht="15" hidden="false" customHeight="false" outlineLevel="0" collapsed="false">
      <c r="A143" s="12" t="str">
        <f aca="false">IF(B143="","",139)</f>
        <v/>
      </c>
      <c r="B143" s="13"/>
      <c r="C143" s="14"/>
      <c r="D143" s="15"/>
      <c r="E143" s="15"/>
      <c r="F143" s="16"/>
      <c r="G143" s="16"/>
      <c r="H143" s="16"/>
      <c r="I143" s="16"/>
      <c r="J143" s="12" t="str">
        <f aca="false">IF(OR(F143="",G143=""),"",ROUND(ABS(F143-G143)*IF(ISNUMBER(SEARCH("JPY",C143)),100,10000),1))</f>
        <v/>
      </c>
      <c r="K143" s="12" t="str">
        <f aca="false">IF(OR(F143="",I143="",E143=""),"",ROUND(IF(E143="Compra",(I143-F143),(F143-I143))*IF(ISNUMBER(SEARCH("JPY",C143)),100,10000),1))</f>
        <v/>
      </c>
      <c r="L143" s="17"/>
      <c r="M143" s="12" t="str">
        <f aca="false">IF(OR(J143="",K143="",J143=0),"",ROUND(K143/J143,2))</f>
        <v/>
      </c>
      <c r="N143" s="18" t="str">
        <f aca="false">IF(L143="","",IF(L143&gt;0,"Ganada",IF(L143&lt;0,"Perdida","Nula")))</f>
        <v/>
      </c>
      <c r="O143" s="15"/>
      <c r="P143" s="14"/>
    </row>
    <row r="144" customFormat="false" ht="15" hidden="false" customHeight="false" outlineLevel="0" collapsed="false">
      <c r="A144" s="12" t="str">
        <f aca="false">IF(B144="","",140)</f>
        <v/>
      </c>
      <c r="B144" s="13"/>
      <c r="C144" s="14"/>
      <c r="D144" s="15"/>
      <c r="E144" s="15"/>
      <c r="F144" s="16"/>
      <c r="G144" s="16"/>
      <c r="H144" s="16"/>
      <c r="I144" s="16"/>
      <c r="J144" s="12" t="str">
        <f aca="false">IF(OR(F144="",G144=""),"",ROUND(ABS(F144-G144)*IF(ISNUMBER(SEARCH("JPY",C144)),100,10000),1))</f>
        <v/>
      </c>
      <c r="K144" s="12" t="str">
        <f aca="false">IF(OR(F144="",I144="",E144=""),"",ROUND(IF(E144="Compra",(I144-F144),(F144-I144))*IF(ISNUMBER(SEARCH("JPY",C144)),100,10000),1))</f>
        <v/>
      </c>
      <c r="L144" s="17"/>
      <c r="M144" s="12" t="str">
        <f aca="false">IF(OR(J144="",K144="",J144=0),"",ROUND(K144/J144,2))</f>
        <v/>
      </c>
      <c r="N144" s="18" t="str">
        <f aca="false">IF(L144="","",IF(L144&gt;0,"Ganada",IF(L144&lt;0,"Perdida","Nula")))</f>
        <v/>
      </c>
      <c r="O144" s="15"/>
      <c r="P144" s="14"/>
    </row>
    <row r="145" customFormat="false" ht="15" hidden="false" customHeight="false" outlineLevel="0" collapsed="false">
      <c r="A145" s="12" t="str">
        <f aca="false">IF(B145="","",141)</f>
        <v/>
      </c>
      <c r="B145" s="13"/>
      <c r="C145" s="14"/>
      <c r="D145" s="15"/>
      <c r="E145" s="15"/>
      <c r="F145" s="16"/>
      <c r="G145" s="16"/>
      <c r="H145" s="16"/>
      <c r="I145" s="16"/>
      <c r="J145" s="12" t="str">
        <f aca="false">IF(OR(F145="",G145=""),"",ROUND(ABS(F145-G145)*IF(ISNUMBER(SEARCH("JPY",C145)),100,10000),1))</f>
        <v/>
      </c>
      <c r="K145" s="12" t="str">
        <f aca="false">IF(OR(F145="",I145="",E145=""),"",ROUND(IF(E145="Compra",(I145-F145),(F145-I145))*IF(ISNUMBER(SEARCH("JPY",C145)),100,10000),1))</f>
        <v/>
      </c>
      <c r="L145" s="17"/>
      <c r="M145" s="12" t="str">
        <f aca="false">IF(OR(J145="",K145="",J145=0),"",ROUND(K145/J145,2))</f>
        <v/>
      </c>
      <c r="N145" s="18" t="str">
        <f aca="false">IF(L145="","",IF(L145&gt;0,"Ganada",IF(L145&lt;0,"Perdida","Nula")))</f>
        <v/>
      </c>
      <c r="O145" s="15"/>
      <c r="P145" s="14"/>
    </row>
    <row r="146" customFormat="false" ht="15" hidden="false" customHeight="false" outlineLevel="0" collapsed="false">
      <c r="A146" s="12" t="str">
        <f aca="false">IF(B146="","",142)</f>
        <v/>
      </c>
      <c r="B146" s="13"/>
      <c r="C146" s="14"/>
      <c r="D146" s="15"/>
      <c r="E146" s="15"/>
      <c r="F146" s="16"/>
      <c r="G146" s="16"/>
      <c r="H146" s="16"/>
      <c r="I146" s="16"/>
      <c r="J146" s="12" t="str">
        <f aca="false">IF(OR(F146="",G146=""),"",ROUND(ABS(F146-G146)*IF(ISNUMBER(SEARCH("JPY",C146)),100,10000),1))</f>
        <v/>
      </c>
      <c r="K146" s="12" t="str">
        <f aca="false">IF(OR(F146="",I146="",E146=""),"",ROUND(IF(E146="Compra",(I146-F146),(F146-I146))*IF(ISNUMBER(SEARCH("JPY",C146)),100,10000),1))</f>
        <v/>
      </c>
      <c r="L146" s="17"/>
      <c r="M146" s="12" t="str">
        <f aca="false">IF(OR(J146="",K146="",J146=0),"",ROUND(K146/J146,2))</f>
        <v/>
      </c>
      <c r="N146" s="18" t="str">
        <f aca="false">IF(L146="","",IF(L146&gt;0,"Ganada",IF(L146&lt;0,"Perdida","Nula")))</f>
        <v/>
      </c>
      <c r="O146" s="15"/>
      <c r="P146" s="14"/>
    </row>
    <row r="147" customFormat="false" ht="15" hidden="false" customHeight="false" outlineLevel="0" collapsed="false">
      <c r="A147" s="12" t="str">
        <f aca="false">IF(B147="","",143)</f>
        <v/>
      </c>
      <c r="B147" s="13"/>
      <c r="C147" s="14"/>
      <c r="D147" s="15"/>
      <c r="E147" s="15"/>
      <c r="F147" s="16"/>
      <c r="G147" s="16"/>
      <c r="H147" s="16"/>
      <c r="I147" s="16"/>
      <c r="J147" s="12" t="str">
        <f aca="false">IF(OR(F147="",G147=""),"",ROUND(ABS(F147-G147)*IF(ISNUMBER(SEARCH("JPY",C147)),100,10000),1))</f>
        <v/>
      </c>
      <c r="K147" s="12" t="str">
        <f aca="false">IF(OR(F147="",I147="",E147=""),"",ROUND(IF(E147="Compra",(I147-F147),(F147-I147))*IF(ISNUMBER(SEARCH("JPY",C147)),100,10000),1))</f>
        <v/>
      </c>
      <c r="L147" s="17"/>
      <c r="M147" s="12" t="str">
        <f aca="false">IF(OR(J147="",K147="",J147=0),"",ROUND(K147/J147,2))</f>
        <v/>
      </c>
      <c r="N147" s="18" t="str">
        <f aca="false">IF(L147="","",IF(L147&gt;0,"Ganada",IF(L147&lt;0,"Perdida","Nula")))</f>
        <v/>
      </c>
      <c r="O147" s="15"/>
      <c r="P147" s="14"/>
    </row>
    <row r="148" customFormat="false" ht="15" hidden="false" customHeight="false" outlineLevel="0" collapsed="false">
      <c r="A148" s="12" t="str">
        <f aca="false">IF(B148="","",144)</f>
        <v/>
      </c>
      <c r="B148" s="13"/>
      <c r="C148" s="14"/>
      <c r="D148" s="15"/>
      <c r="E148" s="15"/>
      <c r="F148" s="16"/>
      <c r="G148" s="16"/>
      <c r="H148" s="16"/>
      <c r="I148" s="16"/>
      <c r="J148" s="12" t="str">
        <f aca="false">IF(OR(F148="",G148=""),"",ROUND(ABS(F148-G148)*IF(ISNUMBER(SEARCH("JPY",C148)),100,10000),1))</f>
        <v/>
      </c>
      <c r="K148" s="12" t="str">
        <f aca="false">IF(OR(F148="",I148="",E148=""),"",ROUND(IF(E148="Compra",(I148-F148),(F148-I148))*IF(ISNUMBER(SEARCH("JPY",C148)),100,10000),1))</f>
        <v/>
      </c>
      <c r="L148" s="17"/>
      <c r="M148" s="12" t="str">
        <f aca="false">IF(OR(J148="",K148="",J148=0),"",ROUND(K148/J148,2))</f>
        <v/>
      </c>
      <c r="N148" s="18" t="str">
        <f aca="false">IF(L148="","",IF(L148&gt;0,"Ganada",IF(L148&lt;0,"Perdida","Nula")))</f>
        <v/>
      </c>
      <c r="O148" s="15"/>
      <c r="P148" s="14"/>
    </row>
    <row r="149" customFormat="false" ht="15" hidden="false" customHeight="false" outlineLevel="0" collapsed="false">
      <c r="A149" s="12" t="str">
        <f aca="false">IF(B149="","",145)</f>
        <v/>
      </c>
      <c r="B149" s="13"/>
      <c r="C149" s="14"/>
      <c r="D149" s="15"/>
      <c r="E149" s="15"/>
      <c r="F149" s="16"/>
      <c r="G149" s="16"/>
      <c r="H149" s="16"/>
      <c r="I149" s="16"/>
      <c r="J149" s="12" t="str">
        <f aca="false">IF(OR(F149="",G149=""),"",ROUND(ABS(F149-G149)*IF(ISNUMBER(SEARCH("JPY",C149)),100,10000),1))</f>
        <v/>
      </c>
      <c r="K149" s="12" t="str">
        <f aca="false">IF(OR(F149="",I149="",E149=""),"",ROUND(IF(E149="Compra",(I149-F149),(F149-I149))*IF(ISNUMBER(SEARCH("JPY",C149)),100,10000),1))</f>
        <v/>
      </c>
      <c r="L149" s="17"/>
      <c r="M149" s="12" t="str">
        <f aca="false">IF(OR(J149="",K149="",J149=0),"",ROUND(K149/J149,2))</f>
        <v/>
      </c>
      <c r="N149" s="18" t="str">
        <f aca="false">IF(L149="","",IF(L149&gt;0,"Ganada",IF(L149&lt;0,"Perdida","Nula")))</f>
        <v/>
      </c>
      <c r="O149" s="15"/>
      <c r="P149" s="14"/>
    </row>
    <row r="150" customFormat="false" ht="15" hidden="false" customHeight="false" outlineLevel="0" collapsed="false">
      <c r="A150" s="12" t="str">
        <f aca="false">IF(B150="","",146)</f>
        <v/>
      </c>
      <c r="B150" s="13"/>
      <c r="C150" s="14"/>
      <c r="D150" s="15"/>
      <c r="E150" s="15"/>
      <c r="F150" s="16"/>
      <c r="G150" s="16"/>
      <c r="H150" s="16"/>
      <c r="I150" s="16"/>
      <c r="J150" s="12" t="str">
        <f aca="false">IF(OR(F150="",G150=""),"",ROUND(ABS(F150-G150)*IF(ISNUMBER(SEARCH("JPY",C150)),100,10000),1))</f>
        <v/>
      </c>
      <c r="K150" s="12" t="str">
        <f aca="false">IF(OR(F150="",I150="",E150=""),"",ROUND(IF(E150="Compra",(I150-F150),(F150-I150))*IF(ISNUMBER(SEARCH("JPY",C150)),100,10000),1))</f>
        <v/>
      </c>
      <c r="L150" s="17"/>
      <c r="M150" s="12" t="str">
        <f aca="false">IF(OR(J150="",K150="",J150=0),"",ROUND(K150/J150,2))</f>
        <v/>
      </c>
      <c r="N150" s="18" t="str">
        <f aca="false">IF(L150="","",IF(L150&gt;0,"Ganada",IF(L150&lt;0,"Perdida","Nula")))</f>
        <v/>
      </c>
      <c r="O150" s="15"/>
      <c r="P150" s="14"/>
    </row>
    <row r="151" customFormat="false" ht="15" hidden="false" customHeight="false" outlineLevel="0" collapsed="false">
      <c r="A151" s="12" t="str">
        <f aca="false">IF(B151="","",147)</f>
        <v/>
      </c>
      <c r="B151" s="13"/>
      <c r="C151" s="14"/>
      <c r="D151" s="15"/>
      <c r="E151" s="15"/>
      <c r="F151" s="16"/>
      <c r="G151" s="16"/>
      <c r="H151" s="16"/>
      <c r="I151" s="16"/>
      <c r="J151" s="12" t="str">
        <f aca="false">IF(OR(F151="",G151=""),"",ROUND(ABS(F151-G151)*IF(ISNUMBER(SEARCH("JPY",C151)),100,10000),1))</f>
        <v/>
      </c>
      <c r="K151" s="12" t="str">
        <f aca="false">IF(OR(F151="",I151="",E151=""),"",ROUND(IF(E151="Compra",(I151-F151),(F151-I151))*IF(ISNUMBER(SEARCH("JPY",C151)),100,10000),1))</f>
        <v/>
      </c>
      <c r="L151" s="17"/>
      <c r="M151" s="12" t="str">
        <f aca="false">IF(OR(J151="",K151="",J151=0),"",ROUND(K151/J151,2))</f>
        <v/>
      </c>
      <c r="N151" s="18" t="str">
        <f aca="false">IF(L151="","",IF(L151&gt;0,"Ganada",IF(L151&lt;0,"Perdida","Nula")))</f>
        <v/>
      </c>
      <c r="O151" s="15"/>
      <c r="P151" s="14"/>
    </row>
    <row r="152" customFormat="false" ht="15" hidden="false" customHeight="false" outlineLevel="0" collapsed="false">
      <c r="A152" s="12" t="str">
        <f aca="false">IF(B152="","",148)</f>
        <v/>
      </c>
      <c r="B152" s="13"/>
      <c r="C152" s="14"/>
      <c r="D152" s="15"/>
      <c r="E152" s="15"/>
      <c r="F152" s="16"/>
      <c r="G152" s="16"/>
      <c r="H152" s="16"/>
      <c r="I152" s="16"/>
      <c r="J152" s="12" t="str">
        <f aca="false">IF(OR(F152="",G152=""),"",ROUND(ABS(F152-G152)*IF(ISNUMBER(SEARCH("JPY",C152)),100,10000),1))</f>
        <v/>
      </c>
      <c r="K152" s="12" t="str">
        <f aca="false">IF(OR(F152="",I152="",E152=""),"",ROUND(IF(E152="Compra",(I152-F152),(F152-I152))*IF(ISNUMBER(SEARCH("JPY",C152)),100,10000),1))</f>
        <v/>
      </c>
      <c r="L152" s="17"/>
      <c r="M152" s="12" t="str">
        <f aca="false">IF(OR(J152="",K152="",J152=0),"",ROUND(K152/J152,2))</f>
        <v/>
      </c>
      <c r="N152" s="18" t="str">
        <f aca="false">IF(L152="","",IF(L152&gt;0,"Ganada",IF(L152&lt;0,"Perdida","Nula")))</f>
        <v/>
      </c>
      <c r="O152" s="15"/>
      <c r="P152" s="14"/>
    </row>
    <row r="153" customFormat="false" ht="15" hidden="false" customHeight="false" outlineLevel="0" collapsed="false">
      <c r="A153" s="12" t="str">
        <f aca="false">IF(B153="","",149)</f>
        <v/>
      </c>
      <c r="B153" s="13"/>
      <c r="C153" s="14"/>
      <c r="D153" s="15"/>
      <c r="E153" s="15"/>
      <c r="F153" s="16"/>
      <c r="G153" s="16"/>
      <c r="H153" s="16"/>
      <c r="I153" s="16"/>
      <c r="J153" s="12" t="str">
        <f aca="false">IF(OR(F153="",G153=""),"",ROUND(ABS(F153-G153)*IF(ISNUMBER(SEARCH("JPY",C153)),100,10000),1))</f>
        <v/>
      </c>
      <c r="K153" s="12" t="str">
        <f aca="false">IF(OR(F153="",I153="",E153=""),"",ROUND(IF(E153="Compra",(I153-F153),(F153-I153))*IF(ISNUMBER(SEARCH("JPY",C153)),100,10000),1))</f>
        <v/>
      </c>
      <c r="L153" s="17"/>
      <c r="M153" s="12" t="str">
        <f aca="false">IF(OR(J153="",K153="",J153=0),"",ROUND(K153/J153,2))</f>
        <v/>
      </c>
      <c r="N153" s="18" t="str">
        <f aca="false">IF(L153="","",IF(L153&gt;0,"Ganada",IF(L153&lt;0,"Perdida","Nula")))</f>
        <v/>
      </c>
      <c r="O153" s="15"/>
      <c r="P153" s="14"/>
    </row>
    <row r="154" customFormat="false" ht="15" hidden="false" customHeight="false" outlineLevel="0" collapsed="false">
      <c r="A154" s="12" t="str">
        <f aca="false">IF(B154="","",150)</f>
        <v/>
      </c>
      <c r="B154" s="13"/>
      <c r="C154" s="14"/>
      <c r="D154" s="15"/>
      <c r="E154" s="15"/>
      <c r="F154" s="16"/>
      <c r="G154" s="16"/>
      <c r="H154" s="16"/>
      <c r="I154" s="16"/>
      <c r="J154" s="12" t="str">
        <f aca="false">IF(OR(F154="",G154=""),"",ROUND(ABS(F154-G154)*IF(ISNUMBER(SEARCH("JPY",C154)),100,10000),1))</f>
        <v/>
      </c>
      <c r="K154" s="12" t="str">
        <f aca="false">IF(OR(F154="",I154="",E154=""),"",ROUND(IF(E154="Compra",(I154-F154),(F154-I154))*IF(ISNUMBER(SEARCH("JPY",C154)),100,10000),1))</f>
        <v/>
      </c>
      <c r="L154" s="17"/>
      <c r="M154" s="12" t="str">
        <f aca="false">IF(OR(J154="",K154="",J154=0),"",ROUND(K154/J154,2))</f>
        <v/>
      </c>
      <c r="N154" s="18" t="str">
        <f aca="false">IF(L154="","",IF(L154&gt;0,"Ganada",IF(L154&lt;0,"Perdida","Nula")))</f>
        <v/>
      </c>
      <c r="O154" s="15"/>
      <c r="P154" s="14"/>
    </row>
    <row r="155" customFormat="false" ht="15" hidden="false" customHeight="false" outlineLevel="0" collapsed="false">
      <c r="A155" s="12" t="str">
        <f aca="false">IF(B155="","",151)</f>
        <v/>
      </c>
      <c r="B155" s="13"/>
      <c r="C155" s="14"/>
      <c r="D155" s="15"/>
      <c r="E155" s="15"/>
      <c r="F155" s="16"/>
      <c r="G155" s="16"/>
      <c r="H155" s="16"/>
      <c r="I155" s="16"/>
      <c r="J155" s="12" t="str">
        <f aca="false">IF(OR(F155="",G155=""),"",ROUND(ABS(F155-G155)*IF(ISNUMBER(SEARCH("JPY",C155)),100,10000),1))</f>
        <v/>
      </c>
      <c r="K155" s="12" t="str">
        <f aca="false">IF(OR(F155="",I155="",E155=""),"",ROUND(IF(E155="Compra",(I155-F155),(F155-I155))*IF(ISNUMBER(SEARCH("JPY",C155)),100,10000),1))</f>
        <v/>
      </c>
      <c r="L155" s="17"/>
      <c r="M155" s="12" t="str">
        <f aca="false">IF(OR(J155="",K155="",J155=0),"",ROUND(K155/J155,2))</f>
        <v/>
      </c>
      <c r="N155" s="18" t="str">
        <f aca="false">IF(L155="","",IF(L155&gt;0,"Ganada",IF(L155&lt;0,"Perdida","Nula")))</f>
        <v/>
      </c>
      <c r="O155" s="15"/>
      <c r="P155" s="14"/>
    </row>
    <row r="156" customFormat="false" ht="15" hidden="false" customHeight="false" outlineLevel="0" collapsed="false">
      <c r="A156" s="12" t="str">
        <f aca="false">IF(B156="","",152)</f>
        <v/>
      </c>
      <c r="B156" s="13"/>
      <c r="C156" s="14"/>
      <c r="D156" s="15"/>
      <c r="E156" s="15"/>
      <c r="F156" s="16"/>
      <c r="G156" s="16"/>
      <c r="H156" s="16"/>
      <c r="I156" s="16"/>
      <c r="J156" s="12" t="str">
        <f aca="false">IF(OR(F156="",G156=""),"",ROUND(ABS(F156-G156)*IF(ISNUMBER(SEARCH("JPY",C156)),100,10000),1))</f>
        <v/>
      </c>
      <c r="K156" s="12" t="str">
        <f aca="false">IF(OR(F156="",I156="",E156=""),"",ROUND(IF(E156="Compra",(I156-F156),(F156-I156))*IF(ISNUMBER(SEARCH("JPY",C156)),100,10000),1))</f>
        <v/>
      </c>
      <c r="L156" s="17"/>
      <c r="M156" s="12" t="str">
        <f aca="false">IF(OR(J156="",K156="",J156=0),"",ROUND(K156/J156,2))</f>
        <v/>
      </c>
      <c r="N156" s="18" t="str">
        <f aca="false">IF(L156="","",IF(L156&gt;0,"Ganada",IF(L156&lt;0,"Perdida","Nula")))</f>
        <v/>
      </c>
      <c r="O156" s="15"/>
      <c r="P156" s="14"/>
    </row>
    <row r="157" customFormat="false" ht="15" hidden="false" customHeight="false" outlineLevel="0" collapsed="false">
      <c r="A157" s="12" t="str">
        <f aca="false">IF(B157="","",153)</f>
        <v/>
      </c>
      <c r="B157" s="13"/>
      <c r="C157" s="14"/>
      <c r="D157" s="15"/>
      <c r="E157" s="15"/>
      <c r="F157" s="16"/>
      <c r="G157" s="16"/>
      <c r="H157" s="16"/>
      <c r="I157" s="16"/>
      <c r="J157" s="12" t="str">
        <f aca="false">IF(OR(F157="",G157=""),"",ROUND(ABS(F157-G157)*IF(ISNUMBER(SEARCH("JPY",C157)),100,10000),1))</f>
        <v/>
      </c>
      <c r="K157" s="12" t="str">
        <f aca="false">IF(OR(F157="",I157="",E157=""),"",ROUND(IF(E157="Compra",(I157-F157),(F157-I157))*IF(ISNUMBER(SEARCH("JPY",C157)),100,10000),1))</f>
        <v/>
      </c>
      <c r="L157" s="17"/>
      <c r="M157" s="12" t="str">
        <f aca="false">IF(OR(J157="",K157="",J157=0),"",ROUND(K157/J157,2))</f>
        <v/>
      </c>
      <c r="N157" s="18" t="str">
        <f aca="false">IF(L157="","",IF(L157&gt;0,"Ganada",IF(L157&lt;0,"Perdida","Nula")))</f>
        <v/>
      </c>
      <c r="O157" s="15"/>
      <c r="P157" s="14"/>
    </row>
    <row r="158" customFormat="false" ht="15" hidden="false" customHeight="false" outlineLevel="0" collapsed="false">
      <c r="A158" s="12" t="str">
        <f aca="false">IF(B158="","",154)</f>
        <v/>
      </c>
      <c r="B158" s="13"/>
      <c r="C158" s="14"/>
      <c r="D158" s="15"/>
      <c r="E158" s="15"/>
      <c r="F158" s="16"/>
      <c r="G158" s="16"/>
      <c r="H158" s="16"/>
      <c r="I158" s="16"/>
      <c r="J158" s="12" t="str">
        <f aca="false">IF(OR(F158="",G158=""),"",ROUND(ABS(F158-G158)*IF(ISNUMBER(SEARCH("JPY",C158)),100,10000),1))</f>
        <v/>
      </c>
      <c r="K158" s="12" t="str">
        <f aca="false">IF(OR(F158="",I158="",E158=""),"",ROUND(IF(E158="Compra",(I158-F158),(F158-I158))*IF(ISNUMBER(SEARCH("JPY",C158)),100,10000),1))</f>
        <v/>
      </c>
      <c r="L158" s="17"/>
      <c r="M158" s="12" t="str">
        <f aca="false">IF(OR(J158="",K158="",J158=0),"",ROUND(K158/J158,2))</f>
        <v/>
      </c>
      <c r="N158" s="18" t="str">
        <f aca="false">IF(L158="","",IF(L158&gt;0,"Ganada",IF(L158&lt;0,"Perdida","Nula")))</f>
        <v/>
      </c>
      <c r="O158" s="15"/>
      <c r="P158" s="14"/>
    </row>
    <row r="159" customFormat="false" ht="15" hidden="false" customHeight="false" outlineLevel="0" collapsed="false">
      <c r="A159" s="12" t="str">
        <f aca="false">IF(B159="","",155)</f>
        <v/>
      </c>
      <c r="B159" s="13"/>
      <c r="C159" s="14"/>
      <c r="D159" s="15"/>
      <c r="E159" s="15"/>
      <c r="F159" s="16"/>
      <c r="G159" s="16"/>
      <c r="H159" s="16"/>
      <c r="I159" s="16"/>
      <c r="J159" s="12" t="str">
        <f aca="false">IF(OR(F159="",G159=""),"",ROUND(ABS(F159-G159)*IF(ISNUMBER(SEARCH("JPY",C159)),100,10000),1))</f>
        <v/>
      </c>
      <c r="K159" s="12" t="str">
        <f aca="false">IF(OR(F159="",I159="",E159=""),"",ROUND(IF(E159="Compra",(I159-F159),(F159-I159))*IF(ISNUMBER(SEARCH("JPY",C159)),100,10000),1))</f>
        <v/>
      </c>
      <c r="L159" s="17"/>
      <c r="M159" s="12" t="str">
        <f aca="false">IF(OR(J159="",K159="",J159=0),"",ROUND(K159/J159,2))</f>
        <v/>
      </c>
      <c r="N159" s="18" t="str">
        <f aca="false">IF(L159="","",IF(L159&gt;0,"Ganada",IF(L159&lt;0,"Perdida","Nula")))</f>
        <v/>
      </c>
      <c r="O159" s="15"/>
      <c r="P159" s="14"/>
    </row>
    <row r="160" customFormat="false" ht="15" hidden="false" customHeight="false" outlineLevel="0" collapsed="false">
      <c r="A160" s="12" t="str">
        <f aca="false">IF(B160="","",156)</f>
        <v/>
      </c>
      <c r="B160" s="13"/>
      <c r="C160" s="14"/>
      <c r="D160" s="15"/>
      <c r="E160" s="15"/>
      <c r="F160" s="16"/>
      <c r="G160" s="16"/>
      <c r="H160" s="16"/>
      <c r="I160" s="16"/>
      <c r="J160" s="12" t="str">
        <f aca="false">IF(OR(F160="",G160=""),"",ROUND(ABS(F160-G160)*IF(ISNUMBER(SEARCH("JPY",C160)),100,10000),1))</f>
        <v/>
      </c>
      <c r="K160" s="12" t="str">
        <f aca="false">IF(OR(F160="",I160="",E160=""),"",ROUND(IF(E160="Compra",(I160-F160),(F160-I160))*IF(ISNUMBER(SEARCH("JPY",C160)),100,10000),1))</f>
        <v/>
      </c>
      <c r="L160" s="17"/>
      <c r="M160" s="12" t="str">
        <f aca="false">IF(OR(J160="",K160="",J160=0),"",ROUND(K160/J160,2))</f>
        <v/>
      </c>
      <c r="N160" s="18" t="str">
        <f aca="false">IF(L160="","",IF(L160&gt;0,"Ganada",IF(L160&lt;0,"Perdida","Nula")))</f>
        <v/>
      </c>
      <c r="O160" s="15"/>
      <c r="P160" s="14"/>
    </row>
    <row r="161" customFormat="false" ht="15" hidden="false" customHeight="false" outlineLevel="0" collapsed="false">
      <c r="A161" s="12" t="str">
        <f aca="false">IF(B161="","",157)</f>
        <v/>
      </c>
      <c r="B161" s="13"/>
      <c r="C161" s="14"/>
      <c r="D161" s="15"/>
      <c r="E161" s="15"/>
      <c r="F161" s="16"/>
      <c r="G161" s="16"/>
      <c r="H161" s="16"/>
      <c r="I161" s="16"/>
      <c r="J161" s="12" t="str">
        <f aca="false">IF(OR(F161="",G161=""),"",ROUND(ABS(F161-G161)*IF(ISNUMBER(SEARCH("JPY",C161)),100,10000),1))</f>
        <v/>
      </c>
      <c r="K161" s="12" t="str">
        <f aca="false">IF(OR(F161="",I161="",E161=""),"",ROUND(IF(E161="Compra",(I161-F161),(F161-I161))*IF(ISNUMBER(SEARCH("JPY",C161)),100,10000),1))</f>
        <v/>
      </c>
      <c r="L161" s="17"/>
      <c r="M161" s="12" t="str">
        <f aca="false">IF(OR(J161="",K161="",J161=0),"",ROUND(K161/J161,2))</f>
        <v/>
      </c>
      <c r="N161" s="18" t="str">
        <f aca="false">IF(L161="","",IF(L161&gt;0,"Ganada",IF(L161&lt;0,"Perdida","Nula")))</f>
        <v/>
      </c>
      <c r="O161" s="15"/>
      <c r="P161" s="14"/>
    </row>
    <row r="162" customFormat="false" ht="15" hidden="false" customHeight="false" outlineLevel="0" collapsed="false">
      <c r="A162" s="12" t="str">
        <f aca="false">IF(B162="","",158)</f>
        <v/>
      </c>
      <c r="B162" s="13"/>
      <c r="C162" s="14"/>
      <c r="D162" s="15"/>
      <c r="E162" s="15"/>
      <c r="F162" s="16"/>
      <c r="G162" s="16"/>
      <c r="H162" s="16"/>
      <c r="I162" s="16"/>
      <c r="J162" s="12" t="str">
        <f aca="false">IF(OR(F162="",G162=""),"",ROUND(ABS(F162-G162)*IF(ISNUMBER(SEARCH("JPY",C162)),100,10000),1))</f>
        <v/>
      </c>
      <c r="K162" s="12" t="str">
        <f aca="false">IF(OR(F162="",I162="",E162=""),"",ROUND(IF(E162="Compra",(I162-F162),(F162-I162))*IF(ISNUMBER(SEARCH("JPY",C162)),100,10000),1))</f>
        <v/>
      </c>
      <c r="L162" s="17"/>
      <c r="M162" s="12" t="str">
        <f aca="false">IF(OR(J162="",K162="",J162=0),"",ROUND(K162/J162,2))</f>
        <v/>
      </c>
      <c r="N162" s="18" t="str">
        <f aca="false">IF(L162="","",IF(L162&gt;0,"Ganada",IF(L162&lt;0,"Perdida","Nula")))</f>
        <v/>
      </c>
      <c r="O162" s="15"/>
      <c r="P162" s="14"/>
    </row>
    <row r="163" customFormat="false" ht="15" hidden="false" customHeight="false" outlineLevel="0" collapsed="false">
      <c r="A163" s="12" t="str">
        <f aca="false">IF(B163="","",159)</f>
        <v/>
      </c>
      <c r="B163" s="13"/>
      <c r="C163" s="14"/>
      <c r="D163" s="15"/>
      <c r="E163" s="15"/>
      <c r="F163" s="16"/>
      <c r="G163" s="16"/>
      <c r="H163" s="16"/>
      <c r="I163" s="16"/>
      <c r="J163" s="12" t="str">
        <f aca="false">IF(OR(F163="",G163=""),"",ROUND(ABS(F163-G163)*IF(ISNUMBER(SEARCH("JPY",C163)),100,10000),1))</f>
        <v/>
      </c>
      <c r="K163" s="12" t="str">
        <f aca="false">IF(OR(F163="",I163="",E163=""),"",ROUND(IF(E163="Compra",(I163-F163),(F163-I163))*IF(ISNUMBER(SEARCH("JPY",C163)),100,10000),1))</f>
        <v/>
      </c>
      <c r="L163" s="17"/>
      <c r="M163" s="12" t="str">
        <f aca="false">IF(OR(J163="",K163="",J163=0),"",ROUND(K163/J163,2))</f>
        <v/>
      </c>
      <c r="N163" s="18" t="str">
        <f aca="false">IF(L163="","",IF(L163&gt;0,"Ganada",IF(L163&lt;0,"Perdida","Nula")))</f>
        <v/>
      </c>
      <c r="O163" s="15"/>
      <c r="P163" s="14"/>
    </row>
    <row r="164" customFormat="false" ht="15" hidden="false" customHeight="false" outlineLevel="0" collapsed="false">
      <c r="A164" s="12" t="str">
        <f aca="false">IF(B164="","",160)</f>
        <v/>
      </c>
      <c r="B164" s="13"/>
      <c r="C164" s="14"/>
      <c r="D164" s="15"/>
      <c r="E164" s="15"/>
      <c r="F164" s="16"/>
      <c r="G164" s="16"/>
      <c r="H164" s="16"/>
      <c r="I164" s="16"/>
      <c r="J164" s="12" t="str">
        <f aca="false">IF(OR(F164="",G164=""),"",ROUND(ABS(F164-G164)*IF(ISNUMBER(SEARCH("JPY",C164)),100,10000),1))</f>
        <v/>
      </c>
      <c r="K164" s="12" t="str">
        <f aca="false">IF(OR(F164="",I164="",E164=""),"",ROUND(IF(E164="Compra",(I164-F164),(F164-I164))*IF(ISNUMBER(SEARCH("JPY",C164)),100,10000),1))</f>
        <v/>
      </c>
      <c r="L164" s="17"/>
      <c r="M164" s="12" t="str">
        <f aca="false">IF(OR(J164="",K164="",J164=0),"",ROUND(K164/J164,2))</f>
        <v/>
      </c>
      <c r="N164" s="18" t="str">
        <f aca="false">IF(L164="","",IF(L164&gt;0,"Ganada",IF(L164&lt;0,"Perdida","Nula")))</f>
        <v/>
      </c>
      <c r="O164" s="15"/>
      <c r="P164" s="14"/>
    </row>
    <row r="165" customFormat="false" ht="15" hidden="false" customHeight="false" outlineLevel="0" collapsed="false">
      <c r="A165" s="12" t="str">
        <f aca="false">IF(B165="","",161)</f>
        <v/>
      </c>
      <c r="B165" s="13"/>
      <c r="C165" s="14"/>
      <c r="D165" s="15"/>
      <c r="E165" s="15"/>
      <c r="F165" s="16"/>
      <c r="G165" s="16"/>
      <c r="H165" s="16"/>
      <c r="I165" s="16"/>
      <c r="J165" s="12" t="str">
        <f aca="false">IF(OR(F165="",G165=""),"",ROUND(ABS(F165-G165)*IF(ISNUMBER(SEARCH("JPY",C165)),100,10000),1))</f>
        <v/>
      </c>
      <c r="K165" s="12" t="str">
        <f aca="false">IF(OR(F165="",I165="",E165=""),"",ROUND(IF(E165="Compra",(I165-F165),(F165-I165))*IF(ISNUMBER(SEARCH("JPY",C165)),100,10000),1))</f>
        <v/>
      </c>
      <c r="L165" s="17"/>
      <c r="M165" s="12" t="str">
        <f aca="false">IF(OR(J165="",K165="",J165=0),"",ROUND(K165/J165,2))</f>
        <v/>
      </c>
      <c r="N165" s="18" t="str">
        <f aca="false">IF(L165="","",IF(L165&gt;0,"Ganada",IF(L165&lt;0,"Perdida","Nula")))</f>
        <v/>
      </c>
      <c r="O165" s="15"/>
      <c r="P165" s="14"/>
    </row>
    <row r="166" customFormat="false" ht="15" hidden="false" customHeight="false" outlineLevel="0" collapsed="false">
      <c r="A166" s="12" t="str">
        <f aca="false">IF(B166="","",162)</f>
        <v/>
      </c>
      <c r="B166" s="13"/>
      <c r="C166" s="14"/>
      <c r="D166" s="15"/>
      <c r="E166" s="15"/>
      <c r="F166" s="16"/>
      <c r="G166" s="16"/>
      <c r="H166" s="16"/>
      <c r="I166" s="16"/>
      <c r="J166" s="12" t="str">
        <f aca="false">IF(OR(F166="",G166=""),"",ROUND(ABS(F166-G166)*IF(ISNUMBER(SEARCH("JPY",C166)),100,10000),1))</f>
        <v/>
      </c>
      <c r="K166" s="12" t="str">
        <f aca="false">IF(OR(F166="",I166="",E166=""),"",ROUND(IF(E166="Compra",(I166-F166),(F166-I166))*IF(ISNUMBER(SEARCH("JPY",C166)),100,10000),1))</f>
        <v/>
      </c>
      <c r="L166" s="17"/>
      <c r="M166" s="12" t="str">
        <f aca="false">IF(OR(J166="",K166="",J166=0),"",ROUND(K166/J166,2))</f>
        <v/>
      </c>
      <c r="N166" s="18" t="str">
        <f aca="false">IF(L166="","",IF(L166&gt;0,"Ganada",IF(L166&lt;0,"Perdida","Nula")))</f>
        <v/>
      </c>
      <c r="O166" s="15"/>
      <c r="P166" s="14"/>
    </row>
    <row r="167" customFormat="false" ht="15" hidden="false" customHeight="false" outlineLevel="0" collapsed="false">
      <c r="A167" s="12" t="str">
        <f aca="false">IF(B167="","",163)</f>
        <v/>
      </c>
      <c r="B167" s="13"/>
      <c r="C167" s="14"/>
      <c r="D167" s="15"/>
      <c r="E167" s="15"/>
      <c r="F167" s="16"/>
      <c r="G167" s="16"/>
      <c r="H167" s="16"/>
      <c r="I167" s="16"/>
      <c r="J167" s="12" t="str">
        <f aca="false">IF(OR(F167="",G167=""),"",ROUND(ABS(F167-G167)*IF(ISNUMBER(SEARCH("JPY",C167)),100,10000),1))</f>
        <v/>
      </c>
      <c r="K167" s="12" t="str">
        <f aca="false">IF(OR(F167="",I167="",E167=""),"",ROUND(IF(E167="Compra",(I167-F167),(F167-I167))*IF(ISNUMBER(SEARCH("JPY",C167)),100,10000),1))</f>
        <v/>
      </c>
      <c r="L167" s="17"/>
      <c r="M167" s="12" t="str">
        <f aca="false">IF(OR(J167="",K167="",J167=0),"",ROUND(K167/J167,2))</f>
        <v/>
      </c>
      <c r="N167" s="18" t="str">
        <f aca="false">IF(L167="","",IF(L167&gt;0,"Ganada",IF(L167&lt;0,"Perdida","Nula")))</f>
        <v/>
      </c>
      <c r="O167" s="15"/>
      <c r="P167" s="14"/>
    </row>
    <row r="168" customFormat="false" ht="15" hidden="false" customHeight="false" outlineLevel="0" collapsed="false">
      <c r="A168" s="12" t="str">
        <f aca="false">IF(B168="","",164)</f>
        <v/>
      </c>
      <c r="B168" s="13"/>
      <c r="C168" s="14"/>
      <c r="D168" s="15"/>
      <c r="E168" s="15"/>
      <c r="F168" s="16"/>
      <c r="G168" s="16"/>
      <c r="H168" s="16"/>
      <c r="I168" s="16"/>
      <c r="J168" s="12" t="str">
        <f aca="false">IF(OR(F168="",G168=""),"",ROUND(ABS(F168-G168)*IF(ISNUMBER(SEARCH("JPY",C168)),100,10000),1))</f>
        <v/>
      </c>
      <c r="K168" s="12" t="str">
        <f aca="false">IF(OR(F168="",I168="",E168=""),"",ROUND(IF(E168="Compra",(I168-F168),(F168-I168))*IF(ISNUMBER(SEARCH("JPY",C168)),100,10000),1))</f>
        <v/>
      </c>
      <c r="L168" s="17"/>
      <c r="M168" s="12" t="str">
        <f aca="false">IF(OR(J168="",K168="",J168=0),"",ROUND(K168/J168,2))</f>
        <v/>
      </c>
      <c r="N168" s="18" t="str">
        <f aca="false">IF(L168="","",IF(L168&gt;0,"Ganada",IF(L168&lt;0,"Perdida","Nula")))</f>
        <v/>
      </c>
      <c r="O168" s="15"/>
      <c r="P168" s="14"/>
    </row>
    <row r="169" customFormat="false" ht="15" hidden="false" customHeight="false" outlineLevel="0" collapsed="false">
      <c r="A169" s="12" t="str">
        <f aca="false">IF(B169="","",165)</f>
        <v/>
      </c>
      <c r="B169" s="13"/>
      <c r="C169" s="14"/>
      <c r="D169" s="15"/>
      <c r="E169" s="15"/>
      <c r="F169" s="16"/>
      <c r="G169" s="16"/>
      <c r="H169" s="16"/>
      <c r="I169" s="16"/>
      <c r="J169" s="12" t="str">
        <f aca="false">IF(OR(F169="",G169=""),"",ROUND(ABS(F169-G169)*IF(ISNUMBER(SEARCH("JPY",C169)),100,10000),1))</f>
        <v/>
      </c>
      <c r="K169" s="12" t="str">
        <f aca="false">IF(OR(F169="",I169="",E169=""),"",ROUND(IF(E169="Compra",(I169-F169),(F169-I169))*IF(ISNUMBER(SEARCH("JPY",C169)),100,10000),1))</f>
        <v/>
      </c>
      <c r="L169" s="17"/>
      <c r="M169" s="12" t="str">
        <f aca="false">IF(OR(J169="",K169="",J169=0),"",ROUND(K169/J169,2))</f>
        <v/>
      </c>
      <c r="N169" s="18" t="str">
        <f aca="false">IF(L169="","",IF(L169&gt;0,"Ganada",IF(L169&lt;0,"Perdida","Nula")))</f>
        <v/>
      </c>
      <c r="O169" s="15"/>
      <c r="P169" s="14"/>
    </row>
    <row r="170" customFormat="false" ht="15" hidden="false" customHeight="false" outlineLevel="0" collapsed="false">
      <c r="A170" s="12" t="str">
        <f aca="false">IF(B170="","",166)</f>
        <v/>
      </c>
      <c r="B170" s="13"/>
      <c r="C170" s="14"/>
      <c r="D170" s="15"/>
      <c r="E170" s="15"/>
      <c r="F170" s="16"/>
      <c r="G170" s="16"/>
      <c r="H170" s="16"/>
      <c r="I170" s="16"/>
      <c r="J170" s="12" t="str">
        <f aca="false">IF(OR(F170="",G170=""),"",ROUND(ABS(F170-G170)*IF(ISNUMBER(SEARCH("JPY",C170)),100,10000),1))</f>
        <v/>
      </c>
      <c r="K170" s="12" t="str">
        <f aca="false">IF(OR(F170="",I170="",E170=""),"",ROUND(IF(E170="Compra",(I170-F170),(F170-I170))*IF(ISNUMBER(SEARCH("JPY",C170)),100,10000),1))</f>
        <v/>
      </c>
      <c r="L170" s="17"/>
      <c r="M170" s="12" t="str">
        <f aca="false">IF(OR(J170="",K170="",J170=0),"",ROUND(K170/J170,2))</f>
        <v/>
      </c>
      <c r="N170" s="18" t="str">
        <f aca="false">IF(L170="","",IF(L170&gt;0,"Ganada",IF(L170&lt;0,"Perdida","Nula")))</f>
        <v/>
      </c>
      <c r="O170" s="15"/>
      <c r="P170" s="14"/>
    </row>
    <row r="171" customFormat="false" ht="15" hidden="false" customHeight="false" outlineLevel="0" collapsed="false">
      <c r="A171" s="12" t="str">
        <f aca="false">IF(B171="","",167)</f>
        <v/>
      </c>
      <c r="B171" s="13"/>
      <c r="C171" s="14"/>
      <c r="D171" s="15"/>
      <c r="E171" s="15"/>
      <c r="F171" s="16"/>
      <c r="G171" s="16"/>
      <c r="H171" s="16"/>
      <c r="I171" s="16"/>
      <c r="J171" s="12" t="str">
        <f aca="false">IF(OR(F171="",G171=""),"",ROUND(ABS(F171-G171)*IF(ISNUMBER(SEARCH("JPY",C171)),100,10000),1))</f>
        <v/>
      </c>
      <c r="K171" s="12" t="str">
        <f aca="false">IF(OR(F171="",I171="",E171=""),"",ROUND(IF(E171="Compra",(I171-F171),(F171-I171))*IF(ISNUMBER(SEARCH("JPY",C171)),100,10000),1))</f>
        <v/>
      </c>
      <c r="L171" s="17"/>
      <c r="M171" s="12" t="str">
        <f aca="false">IF(OR(J171="",K171="",J171=0),"",ROUND(K171/J171,2))</f>
        <v/>
      </c>
      <c r="N171" s="18" t="str">
        <f aca="false">IF(L171="","",IF(L171&gt;0,"Ganada",IF(L171&lt;0,"Perdida","Nula")))</f>
        <v/>
      </c>
      <c r="O171" s="15"/>
      <c r="P171" s="14"/>
    </row>
    <row r="172" customFormat="false" ht="15" hidden="false" customHeight="false" outlineLevel="0" collapsed="false">
      <c r="A172" s="12" t="str">
        <f aca="false">IF(B172="","",168)</f>
        <v/>
      </c>
      <c r="B172" s="13"/>
      <c r="C172" s="14"/>
      <c r="D172" s="15"/>
      <c r="E172" s="15"/>
      <c r="F172" s="16"/>
      <c r="G172" s="16"/>
      <c r="H172" s="16"/>
      <c r="I172" s="16"/>
      <c r="J172" s="12" t="str">
        <f aca="false">IF(OR(F172="",G172=""),"",ROUND(ABS(F172-G172)*IF(ISNUMBER(SEARCH("JPY",C172)),100,10000),1))</f>
        <v/>
      </c>
      <c r="K172" s="12" t="str">
        <f aca="false">IF(OR(F172="",I172="",E172=""),"",ROUND(IF(E172="Compra",(I172-F172),(F172-I172))*IF(ISNUMBER(SEARCH("JPY",C172)),100,10000),1))</f>
        <v/>
      </c>
      <c r="L172" s="17"/>
      <c r="M172" s="12" t="str">
        <f aca="false">IF(OR(J172="",K172="",J172=0),"",ROUND(K172/J172,2))</f>
        <v/>
      </c>
      <c r="N172" s="18" t="str">
        <f aca="false">IF(L172="","",IF(L172&gt;0,"Ganada",IF(L172&lt;0,"Perdida","Nula")))</f>
        <v/>
      </c>
      <c r="O172" s="15"/>
      <c r="P172" s="14"/>
    </row>
    <row r="173" customFormat="false" ht="15" hidden="false" customHeight="false" outlineLevel="0" collapsed="false">
      <c r="A173" s="12" t="str">
        <f aca="false">IF(B173="","",169)</f>
        <v/>
      </c>
      <c r="B173" s="13"/>
      <c r="C173" s="14"/>
      <c r="D173" s="15"/>
      <c r="E173" s="15"/>
      <c r="F173" s="16"/>
      <c r="G173" s="16"/>
      <c r="H173" s="16"/>
      <c r="I173" s="16"/>
      <c r="J173" s="12" t="str">
        <f aca="false">IF(OR(F173="",G173=""),"",ROUND(ABS(F173-G173)*IF(ISNUMBER(SEARCH("JPY",C173)),100,10000),1))</f>
        <v/>
      </c>
      <c r="K173" s="12" t="str">
        <f aca="false">IF(OR(F173="",I173="",E173=""),"",ROUND(IF(E173="Compra",(I173-F173),(F173-I173))*IF(ISNUMBER(SEARCH("JPY",C173)),100,10000),1))</f>
        <v/>
      </c>
      <c r="L173" s="17"/>
      <c r="M173" s="12" t="str">
        <f aca="false">IF(OR(J173="",K173="",J173=0),"",ROUND(K173/J173,2))</f>
        <v/>
      </c>
      <c r="N173" s="18" t="str">
        <f aca="false">IF(L173="","",IF(L173&gt;0,"Ganada",IF(L173&lt;0,"Perdida","Nula")))</f>
        <v/>
      </c>
      <c r="O173" s="15"/>
      <c r="P173" s="14"/>
    </row>
    <row r="174" customFormat="false" ht="15" hidden="false" customHeight="false" outlineLevel="0" collapsed="false">
      <c r="A174" s="12" t="str">
        <f aca="false">IF(B174="","",170)</f>
        <v/>
      </c>
      <c r="B174" s="13"/>
      <c r="C174" s="14"/>
      <c r="D174" s="15"/>
      <c r="E174" s="15"/>
      <c r="F174" s="16"/>
      <c r="G174" s="16"/>
      <c r="H174" s="16"/>
      <c r="I174" s="16"/>
      <c r="J174" s="12" t="str">
        <f aca="false">IF(OR(F174="",G174=""),"",ROUND(ABS(F174-G174)*IF(ISNUMBER(SEARCH("JPY",C174)),100,10000),1))</f>
        <v/>
      </c>
      <c r="K174" s="12" t="str">
        <f aca="false">IF(OR(F174="",I174="",E174=""),"",ROUND(IF(E174="Compra",(I174-F174),(F174-I174))*IF(ISNUMBER(SEARCH("JPY",C174)),100,10000),1))</f>
        <v/>
      </c>
      <c r="L174" s="17"/>
      <c r="M174" s="12" t="str">
        <f aca="false">IF(OR(J174="",K174="",J174=0),"",ROUND(K174/J174,2))</f>
        <v/>
      </c>
      <c r="N174" s="18" t="str">
        <f aca="false">IF(L174="","",IF(L174&gt;0,"Ganada",IF(L174&lt;0,"Perdida","Nula")))</f>
        <v/>
      </c>
      <c r="O174" s="15"/>
      <c r="P174" s="14"/>
    </row>
    <row r="175" customFormat="false" ht="15" hidden="false" customHeight="false" outlineLevel="0" collapsed="false">
      <c r="A175" s="12" t="str">
        <f aca="false">IF(B175="","",171)</f>
        <v/>
      </c>
      <c r="B175" s="13"/>
      <c r="C175" s="14"/>
      <c r="D175" s="15"/>
      <c r="E175" s="15"/>
      <c r="F175" s="16"/>
      <c r="G175" s="16"/>
      <c r="H175" s="16"/>
      <c r="I175" s="16"/>
      <c r="J175" s="12" t="str">
        <f aca="false">IF(OR(F175="",G175=""),"",ROUND(ABS(F175-G175)*IF(ISNUMBER(SEARCH("JPY",C175)),100,10000),1))</f>
        <v/>
      </c>
      <c r="K175" s="12" t="str">
        <f aca="false">IF(OR(F175="",I175="",E175=""),"",ROUND(IF(E175="Compra",(I175-F175),(F175-I175))*IF(ISNUMBER(SEARCH("JPY",C175)),100,10000),1))</f>
        <v/>
      </c>
      <c r="L175" s="17"/>
      <c r="M175" s="12" t="str">
        <f aca="false">IF(OR(J175="",K175="",J175=0),"",ROUND(K175/J175,2))</f>
        <v/>
      </c>
      <c r="N175" s="18" t="str">
        <f aca="false">IF(L175="","",IF(L175&gt;0,"Ganada",IF(L175&lt;0,"Perdida","Nula")))</f>
        <v/>
      </c>
      <c r="O175" s="15"/>
      <c r="P175" s="14"/>
    </row>
    <row r="176" customFormat="false" ht="15" hidden="false" customHeight="false" outlineLevel="0" collapsed="false">
      <c r="A176" s="12" t="str">
        <f aca="false">IF(B176="","",172)</f>
        <v/>
      </c>
      <c r="B176" s="13"/>
      <c r="C176" s="14"/>
      <c r="D176" s="15"/>
      <c r="E176" s="15"/>
      <c r="F176" s="16"/>
      <c r="G176" s="16"/>
      <c r="H176" s="16"/>
      <c r="I176" s="16"/>
      <c r="J176" s="12" t="str">
        <f aca="false">IF(OR(F176="",G176=""),"",ROUND(ABS(F176-G176)*IF(ISNUMBER(SEARCH("JPY",C176)),100,10000),1))</f>
        <v/>
      </c>
      <c r="K176" s="12" t="str">
        <f aca="false">IF(OR(F176="",I176="",E176=""),"",ROUND(IF(E176="Compra",(I176-F176),(F176-I176))*IF(ISNUMBER(SEARCH("JPY",C176)),100,10000),1))</f>
        <v/>
      </c>
      <c r="L176" s="17"/>
      <c r="M176" s="12" t="str">
        <f aca="false">IF(OR(J176="",K176="",J176=0),"",ROUND(K176/J176,2))</f>
        <v/>
      </c>
      <c r="N176" s="18" t="str">
        <f aca="false">IF(L176="","",IF(L176&gt;0,"Ganada",IF(L176&lt;0,"Perdida","Nula")))</f>
        <v/>
      </c>
      <c r="O176" s="15"/>
      <c r="P176" s="14"/>
    </row>
    <row r="177" customFormat="false" ht="15" hidden="false" customHeight="false" outlineLevel="0" collapsed="false">
      <c r="A177" s="12" t="str">
        <f aca="false">IF(B177="","",173)</f>
        <v/>
      </c>
      <c r="B177" s="13"/>
      <c r="C177" s="14"/>
      <c r="D177" s="15"/>
      <c r="E177" s="15"/>
      <c r="F177" s="16"/>
      <c r="G177" s="16"/>
      <c r="H177" s="16"/>
      <c r="I177" s="16"/>
      <c r="J177" s="12" t="str">
        <f aca="false">IF(OR(F177="",G177=""),"",ROUND(ABS(F177-G177)*IF(ISNUMBER(SEARCH("JPY",C177)),100,10000),1))</f>
        <v/>
      </c>
      <c r="K177" s="12" t="str">
        <f aca="false">IF(OR(F177="",I177="",E177=""),"",ROUND(IF(E177="Compra",(I177-F177),(F177-I177))*IF(ISNUMBER(SEARCH("JPY",C177)),100,10000),1))</f>
        <v/>
      </c>
      <c r="L177" s="17"/>
      <c r="M177" s="12" t="str">
        <f aca="false">IF(OR(J177="",K177="",J177=0),"",ROUND(K177/J177,2))</f>
        <v/>
      </c>
      <c r="N177" s="18" t="str">
        <f aca="false">IF(L177="","",IF(L177&gt;0,"Ganada",IF(L177&lt;0,"Perdida","Nula")))</f>
        <v/>
      </c>
      <c r="O177" s="15"/>
      <c r="P177" s="14"/>
    </row>
    <row r="178" customFormat="false" ht="15" hidden="false" customHeight="false" outlineLevel="0" collapsed="false">
      <c r="A178" s="12" t="str">
        <f aca="false">IF(B178="","",174)</f>
        <v/>
      </c>
      <c r="B178" s="13"/>
      <c r="C178" s="14"/>
      <c r="D178" s="15"/>
      <c r="E178" s="15"/>
      <c r="F178" s="16"/>
      <c r="G178" s="16"/>
      <c r="H178" s="16"/>
      <c r="I178" s="16"/>
      <c r="J178" s="12" t="str">
        <f aca="false">IF(OR(F178="",G178=""),"",ROUND(ABS(F178-G178)*IF(ISNUMBER(SEARCH("JPY",C178)),100,10000),1))</f>
        <v/>
      </c>
      <c r="K178" s="12" t="str">
        <f aca="false">IF(OR(F178="",I178="",E178=""),"",ROUND(IF(E178="Compra",(I178-F178),(F178-I178))*IF(ISNUMBER(SEARCH("JPY",C178)),100,10000),1))</f>
        <v/>
      </c>
      <c r="L178" s="17"/>
      <c r="M178" s="12" t="str">
        <f aca="false">IF(OR(J178="",K178="",J178=0),"",ROUND(K178/J178,2))</f>
        <v/>
      </c>
      <c r="N178" s="18" t="str">
        <f aca="false">IF(L178="","",IF(L178&gt;0,"Ganada",IF(L178&lt;0,"Perdida","Nula")))</f>
        <v/>
      </c>
      <c r="O178" s="15"/>
      <c r="P178" s="14"/>
    </row>
    <row r="179" customFormat="false" ht="15" hidden="false" customHeight="false" outlineLevel="0" collapsed="false">
      <c r="A179" s="12" t="str">
        <f aca="false">IF(B179="","",175)</f>
        <v/>
      </c>
      <c r="B179" s="13"/>
      <c r="C179" s="14"/>
      <c r="D179" s="15"/>
      <c r="E179" s="15"/>
      <c r="F179" s="16"/>
      <c r="G179" s="16"/>
      <c r="H179" s="16"/>
      <c r="I179" s="16"/>
      <c r="J179" s="12" t="str">
        <f aca="false">IF(OR(F179="",G179=""),"",ROUND(ABS(F179-G179)*IF(ISNUMBER(SEARCH("JPY",C179)),100,10000),1))</f>
        <v/>
      </c>
      <c r="K179" s="12" t="str">
        <f aca="false">IF(OR(F179="",I179="",E179=""),"",ROUND(IF(E179="Compra",(I179-F179),(F179-I179))*IF(ISNUMBER(SEARCH("JPY",C179)),100,10000),1))</f>
        <v/>
      </c>
      <c r="L179" s="17"/>
      <c r="M179" s="12" t="str">
        <f aca="false">IF(OR(J179="",K179="",J179=0),"",ROUND(K179/J179,2))</f>
        <v/>
      </c>
      <c r="N179" s="18" t="str">
        <f aca="false">IF(L179="","",IF(L179&gt;0,"Ganada",IF(L179&lt;0,"Perdida","Nula")))</f>
        <v/>
      </c>
      <c r="O179" s="15"/>
      <c r="P179" s="14"/>
    </row>
    <row r="180" customFormat="false" ht="15" hidden="false" customHeight="false" outlineLevel="0" collapsed="false">
      <c r="A180" s="12" t="str">
        <f aca="false">IF(B180="","",176)</f>
        <v/>
      </c>
      <c r="B180" s="13"/>
      <c r="C180" s="14"/>
      <c r="D180" s="15"/>
      <c r="E180" s="15"/>
      <c r="F180" s="16"/>
      <c r="G180" s="16"/>
      <c r="H180" s="16"/>
      <c r="I180" s="16"/>
      <c r="J180" s="12" t="str">
        <f aca="false">IF(OR(F180="",G180=""),"",ROUND(ABS(F180-G180)*IF(ISNUMBER(SEARCH("JPY",C180)),100,10000),1))</f>
        <v/>
      </c>
      <c r="K180" s="12" t="str">
        <f aca="false">IF(OR(F180="",I180="",E180=""),"",ROUND(IF(E180="Compra",(I180-F180),(F180-I180))*IF(ISNUMBER(SEARCH("JPY",C180)),100,10000),1))</f>
        <v/>
      </c>
      <c r="L180" s="17"/>
      <c r="M180" s="12" t="str">
        <f aca="false">IF(OR(J180="",K180="",J180=0),"",ROUND(K180/J180,2))</f>
        <v/>
      </c>
      <c r="N180" s="18" t="str">
        <f aca="false">IF(L180="","",IF(L180&gt;0,"Ganada",IF(L180&lt;0,"Perdida","Nula")))</f>
        <v/>
      </c>
      <c r="O180" s="15"/>
      <c r="P180" s="14"/>
    </row>
    <row r="181" customFormat="false" ht="15" hidden="false" customHeight="false" outlineLevel="0" collapsed="false">
      <c r="A181" s="12" t="str">
        <f aca="false">IF(B181="","",177)</f>
        <v/>
      </c>
      <c r="B181" s="13"/>
      <c r="C181" s="14"/>
      <c r="D181" s="15"/>
      <c r="E181" s="15"/>
      <c r="F181" s="16"/>
      <c r="G181" s="16"/>
      <c r="H181" s="16"/>
      <c r="I181" s="16"/>
      <c r="J181" s="12" t="str">
        <f aca="false">IF(OR(F181="",G181=""),"",ROUND(ABS(F181-G181)*IF(ISNUMBER(SEARCH("JPY",C181)),100,10000),1))</f>
        <v/>
      </c>
      <c r="K181" s="12" t="str">
        <f aca="false">IF(OR(F181="",I181="",E181=""),"",ROUND(IF(E181="Compra",(I181-F181),(F181-I181))*IF(ISNUMBER(SEARCH("JPY",C181)),100,10000),1))</f>
        <v/>
      </c>
      <c r="L181" s="17"/>
      <c r="M181" s="12" t="str">
        <f aca="false">IF(OR(J181="",K181="",J181=0),"",ROUND(K181/J181,2))</f>
        <v/>
      </c>
      <c r="N181" s="18" t="str">
        <f aca="false">IF(L181="","",IF(L181&gt;0,"Ganada",IF(L181&lt;0,"Perdida","Nula")))</f>
        <v/>
      </c>
      <c r="O181" s="15"/>
      <c r="P181" s="14"/>
    </row>
    <row r="182" customFormat="false" ht="15" hidden="false" customHeight="false" outlineLevel="0" collapsed="false">
      <c r="A182" s="12" t="str">
        <f aca="false">IF(B182="","",178)</f>
        <v/>
      </c>
      <c r="B182" s="13"/>
      <c r="C182" s="14"/>
      <c r="D182" s="15"/>
      <c r="E182" s="15"/>
      <c r="F182" s="16"/>
      <c r="G182" s="16"/>
      <c r="H182" s="16"/>
      <c r="I182" s="16"/>
      <c r="J182" s="12" t="str">
        <f aca="false">IF(OR(F182="",G182=""),"",ROUND(ABS(F182-G182)*IF(ISNUMBER(SEARCH("JPY",C182)),100,10000),1))</f>
        <v/>
      </c>
      <c r="K182" s="12" t="str">
        <f aca="false">IF(OR(F182="",I182="",E182=""),"",ROUND(IF(E182="Compra",(I182-F182),(F182-I182))*IF(ISNUMBER(SEARCH("JPY",C182)),100,10000),1))</f>
        <v/>
      </c>
      <c r="L182" s="17"/>
      <c r="M182" s="12" t="str">
        <f aca="false">IF(OR(J182="",K182="",J182=0),"",ROUND(K182/J182,2))</f>
        <v/>
      </c>
      <c r="N182" s="18" t="str">
        <f aca="false">IF(L182="","",IF(L182&gt;0,"Ganada",IF(L182&lt;0,"Perdida","Nula")))</f>
        <v/>
      </c>
      <c r="O182" s="15"/>
      <c r="P182" s="14"/>
    </row>
    <row r="183" customFormat="false" ht="15" hidden="false" customHeight="false" outlineLevel="0" collapsed="false">
      <c r="A183" s="12" t="str">
        <f aca="false">IF(B183="","",179)</f>
        <v/>
      </c>
      <c r="B183" s="13"/>
      <c r="C183" s="14"/>
      <c r="D183" s="15"/>
      <c r="E183" s="15"/>
      <c r="F183" s="16"/>
      <c r="G183" s="16"/>
      <c r="H183" s="16"/>
      <c r="I183" s="16"/>
      <c r="J183" s="12" t="str">
        <f aca="false">IF(OR(F183="",G183=""),"",ROUND(ABS(F183-G183)*IF(ISNUMBER(SEARCH("JPY",C183)),100,10000),1))</f>
        <v/>
      </c>
      <c r="K183" s="12" t="str">
        <f aca="false">IF(OR(F183="",I183="",E183=""),"",ROUND(IF(E183="Compra",(I183-F183),(F183-I183))*IF(ISNUMBER(SEARCH("JPY",C183)),100,10000),1))</f>
        <v/>
      </c>
      <c r="L183" s="17"/>
      <c r="M183" s="12" t="str">
        <f aca="false">IF(OR(J183="",K183="",J183=0),"",ROUND(K183/J183,2))</f>
        <v/>
      </c>
      <c r="N183" s="18" t="str">
        <f aca="false">IF(L183="","",IF(L183&gt;0,"Ganada",IF(L183&lt;0,"Perdida","Nula")))</f>
        <v/>
      </c>
      <c r="O183" s="15"/>
      <c r="P183" s="14"/>
    </row>
    <row r="184" customFormat="false" ht="15" hidden="false" customHeight="false" outlineLevel="0" collapsed="false">
      <c r="A184" s="12" t="str">
        <f aca="false">IF(B184="","",180)</f>
        <v/>
      </c>
      <c r="B184" s="13"/>
      <c r="C184" s="14"/>
      <c r="D184" s="15"/>
      <c r="E184" s="15"/>
      <c r="F184" s="16"/>
      <c r="G184" s="16"/>
      <c r="H184" s="16"/>
      <c r="I184" s="16"/>
      <c r="J184" s="12" t="str">
        <f aca="false">IF(OR(F184="",G184=""),"",ROUND(ABS(F184-G184)*IF(ISNUMBER(SEARCH("JPY",C184)),100,10000),1))</f>
        <v/>
      </c>
      <c r="K184" s="12" t="str">
        <f aca="false">IF(OR(F184="",I184="",E184=""),"",ROUND(IF(E184="Compra",(I184-F184),(F184-I184))*IF(ISNUMBER(SEARCH("JPY",C184)),100,10000),1))</f>
        <v/>
      </c>
      <c r="L184" s="17"/>
      <c r="M184" s="12" t="str">
        <f aca="false">IF(OR(J184="",K184="",J184=0),"",ROUND(K184/J184,2))</f>
        <v/>
      </c>
      <c r="N184" s="18" t="str">
        <f aca="false">IF(L184="","",IF(L184&gt;0,"Ganada",IF(L184&lt;0,"Perdida","Nula")))</f>
        <v/>
      </c>
      <c r="O184" s="15"/>
      <c r="P184" s="14"/>
    </row>
    <row r="185" customFormat="false" ht="15" hidden="false" customHeight="false" outlineLevel="0" collapsed="false">
      <c r="A185" s="12" t="str">
        <f aca="false">IF(B185="","",181)</f>
        <v/>
      </c>
      <c r="B185" s="13"/>
      <c r="C185" s="14"/>
      <c r="D185" s="15"/>
      <c r="E185" s="15"/>
      <c r="F185" s="16"/>
      <c r="G185" s="16"/>
      <c r="H185" s="16"/>
      <c r="I185" s="16"/>
      <c r="J185" s="12" t="str">
        <f aca="false">IF(OR(F185="",G185=""),"",ROUND(ABS(F185-G185)*IF(ISNUMBER(SEARCH("JPY",C185)),100,10000),1))</f>
        <v/>
      </c>
      <c r="K185" s="12" t="str">
        <f aca="false">IF(OR(F185="",I185="",E185=""),"",ROUND(IF(E185="Compra",(I185-F185),(F185-I185))*IF(ISNUMBER(SEARCH("JPY",C185)),100,10000),1))</f>
        <v/>
      </c>
      <c r="L185" s="17"/>
      <c r="M185" s="12" t="str">
        <f aca="false">IF(OR(J185="",K185="",J185=0),"",ROUND(K185/J185,2))</f>
        <v/>
      </c>
      <c r="N185" s="18" t="str">
        <f aca="false">IF(L185="","",IF(L185&gt;0,"Ganada",IF(L185&lt;0,"Perdida","Nula")))</f>
        <v/>
      </c>
      <c r="O185" s="15"/>
      <c r="P185" s="14"/>
    </row>
    <row r="186" customFormat="false" ht="15" hidden="false" customHeight="false" outlineLevel="0" collapsed="false">
      <c r="A186" s="12" t="str">
        <f aca="false">IF(B186="","",182)</f>
        <v/>
      </c>
      <c r="B186" s="13"/>
      <c r="C186" s="14"/>
      <c r="D186" s="15"/>
      <c r="E186" s="15"/>
      <c r="F186" s="16"/>
      <c r="G186" s="16"/>
      <c r="H186" s="16"/>
      <c r="I186" s="16"/>
      <c r="J186" s="12" t="str">
        <f aca="false">IF(OR(F186="",G186=""),"",ROUND(ABS(F186-G186)*IF(ISNUMBER(SEARCH("JPY",C186)),100,10000),1))</f>
        <v/>
      </c>
      <c r="K186" s="12" t="str">
        <f aca="false">IF(OR(F186="",I186="",E186=""),"",ROUND(IF(E186="Compra",(I186-F186),(F186-I186))*IF(ISNUMBER(SEARCH("JPY",C186)),100,10000),1))</f>
        <v/>
      </c>
      <c r="L186" s="17"/>
      <c r="M186" s="12" t="str">
        <f aca="false">IF(OR(J186="",K186="",J186=0),"",ROUND(K186/J186,2))</f>
        <v/>
      </c>
      <c r="N186" s="18" t="str">
        <f aca="false">IF(L186="","",IF(L186&gt;0,"Ganada",IF(L186&lt;0,"Perdida","Nula")))</f>
        <v/>
      </c>
      <c r="O186" s="15"/>
      <c r="P186" s="14"/>
    </row>
    <row r="187" customFormat="false" ht="15" hidden="false" customHeight="false" outlineLevel="0" collapsed="false">
      <c r="A187" s="12" t="str">
        <f aca="false">IF(B187="","",183)</f>
        <v/>
      </c>
      <c r="B187" s="13"/>
      <c r="C187" s="14"/>
      <c r="D187" s="15"/>
      <c r="E187" s="15"/>
      <c r="F187" s="16"/>
      <c r="G187" s="16"/>
      <c r="H187" s="16"/>
      <c r="I187" s="16"/>
      <c r="J187" s="12" t="str">
        <f aca="false">IF(OR(F187="",G187=""),"",ROUND(ABS(F187-G187)*IF(ISNUMBER(SEARCH("JPY",C187)),100,10000),1))</f>
        <v/>
      </c>
      <c r="K187" s="12" t="str">
        <f aca="false">IF(OR(F187="",I187="",E187=""),"",ROUND(IF(E187="Compra",(I187-F187),(F187-I187))*IF(ISNUMBER(SEARCH("JPY",C187)),100,10000),1))</f>
        <v/>
      </c>
      <c r="L187" s="17"/>
      <c r="M187" s="12" t="str">
        <f aca="false">IF(OR(J187="",K187="",J187=0),"",ROUND(K187/J187,2))</f>
        <v/>
      </c>
      <c r="N187" s="18" t="str">
        <f aca="false">IF(L187="","",IF(L187&gt;0,"Ganada",IF(L187&lt;0,"Perdida","Nula")))</f>
        <v/>
      </c>
      <c r="O187" s="15"/>
      <c r="P187" s="14"/>
    </row>
    <row r="188" customFormat="false" ht="15" hidden="false" customHeight="false" outlineLevel="0" collapsed="false">
      <c r="A188" s="12" t="str">
        <f aca="false">IF(B188="","",184)</f>
        <v/>
      </c>
      <c r="B188" s="13"/>
      <c r="C188" s="14"/>
      <c r="D188" s="15"/>
      <c r="E188" s="15"/>
      <c r="F188" s="16"/>
      <c r="G188" s="16"/>
      <c r="H188" s="16"/>
      <c r="I188" s="16"/>
      <c r="J188" s="12" t="str">
        <f aca="false">IF(OR(F188="",G188=""),"",ROUND(ABS(F188-G188)*IF(ISNUMBER(SEARCH("JPY",C188)),100,10000),1))</f>
        <v/>
      </c>
      <c r="K188" s="12" t="str">
        <f aca="false">IF(OR(F188="",I188="",E188=""),"",ROUND(IF(E188="Compra",(I188-F188),(F188-I188))*IF(ISNUMBER(SEARCH("JPY",C188)),100,10000),1))</f>
        <v/>
      </c>
      <c r="L188" s="17"/>
      <c r="M188" s="12" t="str">
        <f aca="false">IF(OR(J188="",K188="",J188=0),"",ROUND(K188/J188,2))</f>
        <v/>
      </c>
      <c r="N188" s="18" t="str">
        <f aca="false">IF(L188="","",IF(L188&gt;0,"Ganada",IF(L188&lt;0,"Perdida","Nula")))</f>
        <v/>
      </c>
      <c r="O188" s="15"/>
      <c r="P188" s="14"/>
    </row>
    <row r="189" customFormat="false" ht="15" hidden="false" customHeight="false" outlineLevel="0" collapsed="false">
      <c r="A189" s="12" t="str">
        <f aca="false">IF(B189="","",185)</f>
        <v/>
      </c>
      <c r="B189" s="13"/>
      <c r="C189" s="14"/>
      <c r="D189" s="15"/>
      <c r="E189" s="15"/>
      <c r="F189" s="16"/>
      <c r="G189" s="16"/>
      <c r="H189" s="16"/>
      <c r="I189" s="16"/>
      <c r="J189" s="12" t="str">
        <f aca="false">IF(OR(F189="",G189=""),"",ROUND(ABS(F189-G189)*IF(ISNUMBER(SEARCH("JPY",C189)),100,10000),1))</f>
        <v/>
      </c>
      <c r="K189" s="12" t="str">
        <f aca="false">IF(OR(F189="",I189="",E189=""),"",ROUND(IF(E189="Compra",(I189-F189),(F189-I189))*IF(ISNUMBER(SEARCH("JPY",C189)),100,10000),1))</f>
        <v/>
      </c>
      <c r="L189" s="17"/>
      <c r="M189" s="12" t="str">
        <f aca="false">IF(OR(J189="",K189="",J189=0),"",ROUND(K189/J189,2))</f>
        <v/>
      </c>
      <c r="N189" s="18" t="str">
        <f aca="false">IF(L189="","",IF(L189&gt;0,"Ganada",IF(L189&lt;0,"Perdida","Nula")))</f>
        <v/>
      </c>
      <c r="O189" s="15"/>
      <c r="P189" s="14"/>
    </row>
    <row r="190" customFormat="false" ht="15" hidden="false" customHeight="false" outlineLevel="0" collapsed="false">
      <c r="A190" s="12" t="str">
        <f aca="false">IF(B190="","",186)</f>
        <v/>
      </c>
      <c r="B190" s="13"/>
      <c r="C190" s="14"/>
      <c r="D190" s="15"/>
      <c r="E190" s="15"/>
      <c r="F190" s="16"/>
      <c r="G190" s="16"/>
      <c r="H190" s="16"/>
      <c r="I190" s="16"/>
      <c r="J190" s="12" t="str">
        <f aca="false">IF(OR(F190="",G190=""),"",ROUND(ABS(F190-G190)*IF(ISNUMBER(SEARCH("JPY",C190)),100,10000),1))</f>
        <v/>
      </c>
      <c r="K190" s="12" t="str">
        <f aca="false">IF(OR(F190="",I190="",E190=""),"",ROUND(IF(E190="Compra",(I190-F190),(F190-I190))*IF(ISNUMBER(SEARCH("JPY",C190)),100,10000),1))</f>
        <v/>
      </c>
      <c r="L190" s="17"/>
      <c r="M190" s="12" t="str">
        <f aca="false">IF(OR(J190="",K190="",J190=0),"",ROUND(K190/J190,2))</f>
        <v/>
      </c>
      <c r="N190" s="18" t="str">
        <f aca="false">IF(L190="","",IF(L190&gt;0,"Ganada",IF(L190&lt;0,"Perdida","Nula")))</f>
        <v/>
      </c>
      <c r="O190" s="15"/>
      <c r="P190" s="14"/>
    </row>
    <row r="191" customFormat="false" ht="15" hidden="false" customHeight="false" outlineLevel="0" collapsed="false">
      <c r="A191" s="12" t="str">
        <f aca="false">IF(B191="","",187)</f>
        <v/>
      </c>
      <c r="B191" s="13"/>
      <c r="C191" s="14"/>
      <c r="D191" s="15"/>
      <c r="E191" s="15"/>
      <c r="F191" s="16"/>
      <c r="G191" s="16"/>
      <c r="H191" s="16"/>
      <c r="I191" s="16"/>
      <c r="J191" s="12" t="str">
        <f aca="false">IF(OR(F191="",G191=""),"",ROUND(ABS(F191-G191)*IF(ISNUMBER(SEARCH("JPY",C191)),100,10000),1))</f>
        <v/>
      </c>
      <c r="K191" s="12" t="str">
        <f aca="false">IF(OR(F191="",I191="",E191=""),"",ROUND(IF(E191="Compra",(I191-F191),(F191-I191))*IF(ISNUMBER(SEARCH("JPY",C191)),100,10000),1))</f>
        <v/>
      </c>
      <c r="L191" s="17"/>
      <c r="M191" s="12" t="str">
        <f aca="false">IF(OR(J191="",K191="",J191=0),"",ROUND(K191/J191,2))</f>
        <v/>
      </c>
      <c r="N191" s="18" t="str">
        <f aca="false">IF(L191="","",IF(L191&gt;0,"Ganada",IF(L191&lt;0,"Perdida","Nula")))</f>
        <v/>
      </c>
      <c r="O191" s="15"/>
      <c r="P191" s="14"/>
    </row>
    <row r="192" customFormat="false" ht="15" hidden="false" customHeight="false" outlineLevel="0" collapsed="false">
      <c r="A192" s="12" t="str">
        <f aca="false">IF(B192="","",188)</f>
        <v/>
      </c>
      <c r="B192" s="13"/>
      <c r="C192" s="14"/>
      <c r="D192" s="15"/>
      <c r="E192" s="15"/>
      <c r="F192" s="16"/>
      <c r="G192" s="16"/>
      <c r="H192" s="16"/>
      <c r="I192" s="16"/>
      <c r="J192" s="12" t="str">
        <f aca="false">IF(OR(F192="",G192=""),"",ROUND(ABS(F192-G192)*IF(ISNUMBER(SEARCH("JPY",C192)),100,10000),1))</f>
        <v/>
      </c>
      <c r="K192" s="12" t="str">
        <f aca="false">IF(OR(F192="",I192="",E192=""),"",ROUND(IF(E192="Compra",(I192-F192),(F192-I192))*IF(ISNUMBER(SEARCH("JPY",C192)),100,10000),1))</f>
        <v/>
      </c>
      <c r="L192" s="17"/>
      <c r="M192" s="12" t="str">
        <f aca="false">IF(OR(J192="",K192="",J192=0),"",ROUND(K192/J192,2))</f>
        <v/>
      </c>
      <c r="N192" s="18" t="str">
        <f aca="false">IF(L192="","",IF(L192&gt;0,"Ganada",IF(L192&lt;0,"Perdida","Nula")))</f>
        <v/>
      </c>
      <c r="O192" s="15"/>
      <c r="P192" s="14"/>
    </row>
    <row r="193" customFormat="false" ht="15" hidden="false" customHeight="false" outlineLevel="0" collapsed="false">
      <c r="A193" s="12" t="str">
        <f aca="false">IF(B193="","",189)</f>
        <v/>
      </c>
      <c r="B193" s="13"/>
      <c r="C193" s="14"/>
      <c r="D193" s="15"/>
      <c r="E193" s="15"/>
      <c r="F193" s="16"/>
      <c r="G193" s="16"/>
      <c r="H193" s="16"/>
      <c r="I193" s="16"/>
      <c r="J193" s="12" t="str">
        <f aca="false">IF(OR(F193="",G193=""),"",ROUND(ABS(F193-G193)*IF(ISNUMBER(SEARCH("JPY",C193)),100,10000),1))</f>
        <v/>
      </c>
      <c r="K193" s="12" t="str">
        <f aca="false">IF(OR(F193="",I193="",E193=""),"",ROUND(IF(E193="Compra",(I193-F193),(F193-I193))*IF(ISNUMBER(SEARCH("JPY",C193)),100,10000),1))</f>
        <v/>
      </c>
      <c r="L193" s="17"/>
      <c r="M193" s="12" t="str">
        <f aca="false">IF(OR(J193="",K193="",J193=0),"",ROUND(K193/J193,2))</f>
        <v/>
      </c>
      <c r="N193" s="18" t="str">
        <f aca="false">IF(L193="","",IF(L193&gt;0,"Ganada",IF(L193&lt;0,"Perdida","Nula")))</f>
        <v/>
      </c>
      <c r="O193" s="15"/>
      <c r="P193" s="14"/>
    </row>
    <row r="194" customFormat="false" ht="15" hidden="false" customHeight="false" outlineLevel="0" collapsed="false">
      <c r="A194" s="12" t="str">
        <f aca="false">IF(B194="","",190)</f>
        <v/>
      </c>
      <c r="B194" s="13"/>
      <c r="C194" s="14"/>
      <c r="D194" s="15"/>
      <c r="E194" s="15"/>
      <c r="F194" s="16"/>
      <c r="G194" s="16"/>
      <c r="H194" s="16"/>
      <c r="I194" s="16"/>
      <c r="J194" s="12" t="str">
        <f aca="false">IF(OR(F194="",G194=""),"",ROUND(ABS(F194-G194)*IF(ISNUMBER(SEARCH("JPY",C194)),100,10000),1))</f>
        <v/>
      </c>
      <c r="K194" s="12" t="str">
        <f aca="false">IF(OR(F194="",I194="",E194=""),"",ROUND(IF(E194="Compra",(I194-F194),(F194-I194))*IF(ISNUMBER(SEARCH("JPY",C194)),100,10000),1))</f>
        <v/>
      </c>
      <c r="L194" s="17"/>
      <c r="M194" s="12" t="str">
        <f aca="false">IF(OR(J194="",K194="",J194=0),"",ROUND(K194/J194,2))</f>
        <v/>
      </c>
      <c r="N194" s="18" t="str">
        <f aca="false">IF(L194="","",IF(L194&gt;0,"Ganada",IF(L194&lt;0,"Perdida","Nula")))</f>
        <v/>
      </c>
      <c r="O194" s="15"/>
      <c r="P194" s="14"/>
    </row>
    <row r="195" customFormat="false" ht="15" hidden="false" customHeight="false" outlineLevel="0" collapsed="false">
      <c r="A195" s="12" t="str">
        <f aca="false">IF(B195="","",191)</f>
        <v/>
      </c>
      <c r="B195" s="13"/>
      <c r="C195" s="14"/>
      <c r="D195" s="15"/>
      <c r="E195" s="15"/>
      <c r="F195" s="16"/>
      <c r="G195" s="16"/>
      <c r="H195" s="16"/>
      <c r="I195" s="16"/>
      <c r="J195" s="12" t="str">
        <f aca="false">IF(OR(F195="",G195=""),"",ROUND(ABS(F195-G195)*IF(ISNUMBER(SEARCH("JPY",C195)),100,10000),1))</f>
        <v/>
      </c>
      <c r="K195" s="12" t="str">
        <f aca="false">IF(OR(F195="",I195="",E195=""),"",ROUND(IF(E195="Compra",(I195-F195),(F195-I195))*IF(ISNUMBER(SEARCH("JPY",C195)),100,10000),1))</f>
        <v/>
      </c>
      <c r="L195" s="17"/>
      <c r="M195" s="12" t="str">
        <f aca="false">IF(OR(J195="",K195="",J195=0),"",ROUND(K195/J195,2))</f>
        <v/>
      </c>
      <c r="N195" s="18" t="str">
        <f aca="false">IF(L195="","",IF(L195&gt;0,"Ganada",IF(L195&lt;0,"Perdida","Nula")))</f>
        <v/>
      </c>
      <c r="O195" s="15"/>
      <c r="P195" s="14"/>
    </row>
    <row r="196" customFormat="false" ht="15" hidden="false" customHeight="false" outlineLevel="0" collapsed="false">
      <c r="A196" s="12" t="str">
        <f aca="false">IF(B196="","",192)</f>
        <v/>
      </c>
      <c r="B196" s="13"/>
      <c r="C196" s="14"/>
      <c r="D196" s="15"/>
      <c r="E196" s="15"/>
      <c r="F196" s="16"/>
      <c r="G196" s="16"/>
      <c r="H196" s="16"/>
      <c r="I196" s="16"/>
      <c r="J196" s="12" t="str">
        <f aca="false">IF(OR(F196="",G196=""),"",ROUND(ABS(F196-G196)*IF(ISNUMBER(SEARCH("JPY",C196)),100,10000),1))</f>
        <v/>
      </c>
      <c r="K196" s="12" t="str">
        <f aca="false">IF(OR(F196="",I196="",E196=""),"",ROUND(IF(E196="Compra",(I196-F196),(F196-I196))*IF(ISNUMBER(SEARCH("JPY",C196)),100,10000),1))</f>
        <v/>
      </c>
      <c r="L196" s="17"/>
      <c r="M196" s="12" t="str">
        <f aca="false">IF(OR(J196="",K196="",J196=0),"",ROUND(K196/J196,2))</f>
        <v/>
      </c>
      <c r="N196" s="18" t="str">
        <f aca="false">IF(L196="","",IF(L196&gt;0,"Ganada",IF(L196&lt;0,"Perdida","Nula")))</f>
        <v/>
      </c>
      <c r="O196" s="15"/>
      <c r="P196" s="14"/>
    </row>
    <row r="197" customFormat="false" ht="15" hidden="false" customHeight="false" outlineLevel="0" collapsed="false">
      <c r="A197" s="12" t="str">
        <f aca="false">IF(B197="","",193)</f>
        <v/>
      </c>
      <c r="B197" s="13"/>
      <c r="C197" s="14"/>
      <c r="D197" s="15"/>
      <c r="E197" s="15"/>
      <c r="F197" s="16"/>
      <c r="G197" s="16"/>
      <c r="H197" s="16"/>
      <c r="I197" s="16"/>
      <c r="J197" s="12" t="str">
        <f aca="false">IF(OR(F197="",G197=""),"",ROUND(ABS(F197-G197)*IF(ISNUMBER(SEARCH("JPY",C197)),100,10000),1))</f>
        <v/>
      </c>
      <c r="K197" s="12" t="str">
        <f aca="false">IF(OR(F197="",I197="",E197=""),"",ROUND(IF(E197="Compra",(I197-F197),(F197-I197))*IF(ISNUMBER(SEARCH("JPY",C197)),100,10000),1))</f>
        <v/>
      </c>
      <c r="L197" s="17"/>
      <c r="M197" s="12" t="str">
        <f aca="false">IF(OR(J197="",K197="",J197=0),"",ROUND(K197/J197,2))</f>
        <v/>
      </c>
      <c r="N197" s="18" t="str">
        <f aca="false">IF(L197="","",IF(L197&gt;0,"Ganada",IF(L197&lt;0,"Perdida","Nula")))</f>
        <v/>
      </c>
      <c r="O197" s="15"/>
      <c r="P197" s="14"/>
    </row>
    <row r="198" customFormat="false" ht="15" hidden="false" customHeight="false" outlineLevel="0" collapsed="false">
      <c r="A198" s="12" t="str">
        <f aca="false">IF(B198="","",194)</f>
        <v/>
      </c>
      <c r="B198" s="13"/>
      <c r="C198" s="14"/>
      <c r="D198" s="15"/>
      <c r="E198" s="15"/>
      <c r="F198" s="16"/>
      <c r="G198" s="16"/>
      <c r="H198" s="16"/>
      <c r="I198" s="16"/>
      <c r="J198" s="12" t="str">
        <f aca="false">IF(OR(F198="",G198=""),"",ROUND(ABS(F198-G198)*IF(ISNUMBER(SEARCH("JPY",C198)),100,10000),1))</f>
        <v/>
      </c>
      <c r="K198" s="12" t="str">
        <f aca="false">IF(OR(F198="",I198="",E198=""),"",ROUND(IF(E198="Compra",(I198-F198),(F198-I198))*IF(ISNUMBER(SEARCH("JPY",C198)),100,10000),1))</f>
        <v/>
      </c>
      <c r="L198" s="17"/>
      <c r="M198" s="12" t="str">
        <f aca="false">IF(OR(J198="",K198="",J198=0),"",ROUND(K198/J198,2))</f>
        <v/>
      </c>
      <c r="N198" s="18" t="str">
        <f aca="false">IF(L198="","",IF(L198&gt;0,"Ganada",IF(L198&lt;0,"Perdida","Nula")))</f>
        <v/>
      </c>
      <c r="O198" s="15"/>
      <c r="P198" s="14"/>
    </row>
    <row r="199" customFormat="false" ht="15" hidden="false" customHeight="false" outlineLevel="0" collapsed="false">
      <c r="A199" s="12" t="str">
        <f aca="false">IF(B199="","",195)</f>
        <v/>
      </c>
      <c r="B199" s="13"/>
      <c r="C199" s="14"/>
      <c r="D199" s="15"/>
      <c r="E199" s="15"/>
      <c r="F199" s="16"/>
      <c r="G199" s="16"/>
      <c r="H199" s="16"/>
      <c r="I199" s="16"/>
      <c r="J199" s="12" t="str">
        <f aca="false">IF(OR(F199="",G199=""),"",ROUND(ABS(F199-G199)*IF(ISNUMBER(SEARCH("JPY",C199)),100,10000),1))</f>
        <v/>
      </c>
      <c r="K199" s="12" t="str">
        <f aca="false">IF(OR(F199="",I199="",E199=""),"",ROUND(IF(E199="Compra",(I199-F199),(F199-I199))*IF(ISNUMBER(SEARCH("JPY",C199)),100,10000),1))</f>
        <v/>
      </c>
      <c r="L199" s="17"/>
      <c r="M199" s="12" t="str">
        <f aca="false">IF(OR(J199="",K199="",J199=0),"",ROUND(K199/J199,2))</f>
        <v/>
      </c>
      <c r="N199" s="18" t="str">
        <f aca="false">IF(L199="","",IF(L199&gt;0,"Ganada",IF(L199&lt;0,"Perdida","Nula")))</f>
        <v/>
      </c>
      <c r="O199" s="15"/>
      <c r="P199" s="14"/>
    </row>
    <row r="200" customFormat="false" ht="15" hidden="false" customHeight="false" outlineLevel="0" collapsed="false">
      <c r="A200" s="12" t="str">
        <f aca="false">IF(B200="","",196)</f>
        <v/>
      </c>
      <c r="B200" s="13"/>
      <c r="C200" s="14"/>
      <c r="D200" s="15"/>
      <c r="E200" s="15"/>
      <c r="F200" s="16"/>
      <c r="G200" s="16"/>
      <c r="H200" s="16"/>
      <c r="I200" s="16"/>
      <c r="J200" s="12" t="str">
        <f aca="false">IF(OR(F200="",G200=""),"",ROUND(ABS(F200-G200)*IF(ISNUMBER(SEARCH("JPY",C200)),100,10000),1))</f>
        <v/>
      </c>
      <c r="K200" s="12" t="str">
        <f aca="false">IF(OR(F200="",I200="",E200=""),"",ROUND(IF(E200="Compra",(I200-F200),(F200-I200))*IF(ISNUMBER(SEARCH("JPY",C200)),100,10000),1))</f>
        <v/>
      </c>
      <c r="L200" s="17"/>
      <c r="M200" s="12" t="str">
        <f aca="false">IF(OR(J200="",K200="",J200=0),"",ROUND(K200/J200,2))</f>
        <v/>
      </c>
      <c r="N200" s="18" t="str">
        <f aca="false">IF(L200="","",IF(L200&gt;0,"Ganada",IF(L200&lt;0,"Perdida","Nula")))</f>
        <v/>
      </c>
      <c r="O200" s="15"/>
      <c r="P200" s="14"/>
    </row>
    <row r="201" customFormat="false" ht="15" hidden="false" customHeight="false" outlineLevel="0" collapsed="false">
      <c r="A201" s="12" t="str">
        <f aca="false">IF(B201="","",197)</f>
        <v/>
      </c>
      <c r="B201" s="13"/>
      <c r="C201" s="14"/>
      <c r="D201" s="15"/>
      <c r="E201" s="15"/>
      <c r="F201" s="16"/>
      <c r="G201" s="16"/>
      <c r="H201" s="16"/>
      <c r="I201" s="16"/>
      <c r="J201" s="12" t="str">
        <f aca="false">IF(OR(F201="",G201=""),"",ROUND(ABS(F201-G201)*IF(ISNUMBER(SEARCH("JPY",C201)),100,10000),1))</f>
        <v/>
      </c>
      <c r="K201" s="12" t="str">
        <f aca="false">IF(OR(F201="",I201="",E201=""),"",ROUND(IF(E201="Compra",(I201-F201),(F201-I201))*IF(ISNUMBER(SEARCH("JPY",C201)),100,10000),1))</f>
        <v/>
      </c>
      <c r="L201" s="17"/>
      <c r="M201" s="12" t="str">
        <f aca="false">IF(OR(J201="",K201="",J201=0),"",ROUND(K201/J201,2))</f>
        <v/>
      </c>
      <c r="N201" s="18" t="str">
        <f aca="false">IF(L201="","",IF(L201&gt;0,"Ganada",IF(L201&lt;0,"Perdida","Nula")))</f>
        <v/>
      </c>
      <c r="O201" s="15"/>
      <c r="P201" s="14"/>
    </row>
    <row r="202" customFormat="false" ht="15" hidden="false" customHeight="false" outlineLevel="0" collapsed="false">
      <c r="A202" s="12" t="str">
        <f aca="false">IF(B202="","",198)</f>
        <v/>
      </c>
      <c r="B202" s="13"/>
      <c r="C202" s="14"/>
      <c r="D202" s="15"/>
      <c r="E202" s="15"/>
      <c r="F202" s="16"/>
      <c r="G202" s="16"/>
      <c r="H202" s="16"/>
      <c r="I202" s="16"/>
      <c r="J202" s="12" t="str">
        <f aca="false">IF(OR(F202="",G202=""),"",ROUND(ABS(F202-G202)*IF(ISNUMBER(SEARCH("JPY",C202)),100,10000),1))</f>
        <v/>
      </c>
      <c r="K202" s="12" t="str">
        <f aca="false">IF(OR(F202="",I202="",E202=""),"",ROUND(IF(E202="Compra",(I202-F202),(F202-I202))*IF(ISNUMBER(SEARCH("JPY",C202)),100,10000),1))</f>
        <v/>
      </c>
      <c r="L202" s="17"/>
      <c r="M202" s="12" t="str">
        <f aca="false">IF(OR(J202="",K202="",J202=0),"",ROUND(K202/J202,2))</f>
        <v/>
      </c>
      <c r="N202" s="18" t="str">
        <f aca="false">IF(L202="","",IF(L202&gt;0,"Ganada",IF(L202&lt;0,"Perdida","Nula")))</f>
        <v/>
      </c>
      <c r="O202" s="15"/>
      <c r="P202" s="14"/>
    </row>
    <row r="203" customFormat="false" ht="15" hidden="false" customHeight="false" outlineLevel="0" collapsed="false">
      <c r="A203" s="12" t="str">
        <f aca="false">IF(B203="","",199)</f>
        <v/>
      </c>
      <c r="B203" s="13"/>
      <c r="C203" s="14"/>
      <c r="D203" s="15"/>
      <c r="E203" s="15"/>
      <c r="F203" s="16"/>
      <c r="G203" s="16"/>
      <c r="H203" s="16"/>
      <c r="I203" s="16"/>
      <c r="J203" s="12" t="str">
        <f aca="false">IF(OR(F203="",G203=""),"",ROUND(ABS(F203-G203)*IF(ISNUMBER(SEARCH("JPY",C203)),100,10000),1))</f>
        <v/>
      </c>
      <c r="K203" s="12" t="str">
        <f aca="false">IF(OR(F203="",I203="",E203=""),"",ROUND(IF(E203="Compra",(I203-F203),(F203-I203))*IF(ISNUMBER(SEARCH("JPY",C203)),100,10000),1))</f>
        <v/>
      </c>
      <c r="L203" s="17"/>
      <c r="M203" s="12" t="str">
        <f aca="false">IF(OR(J203="",K203="",J203=0),"",ROUND(K203/J203,2))</f>
        <v/>
      </c>
      <c r="N203" s="18" t="str">
        <f aca="false">IF(L203="","",IF(L203&gt;0,"Ganada",IF(L203&lt;0,"Perdida","Nula")))</f>
        <v/>
      </c>
      <c r="O203" s="15"/>
      <c r="P203" s="14"/>
    </row>
    <row r="204" customFormat="false" ht="15" hidden="false" customHeight="false" outlineLevel="0" collapsed="false">
      <c r="A204" s="12" t="str">
        <f aca="false">IF(B204="","",200)</f>
        <v/>
      </c>
      <c r="B204" s="13"/>
      <c r="C204" s="14"/>
      <c r="D204" s="15"/>
      <c r="E204" s="15"/>
      <c r="F204" s="16"/>
      <c r="G204" s="16"/>
      <c r="H204" s="16"/>
      <c r="I204" s="16"/>
      <c r="J204" s="12" t="str">
        <f aca="false">IF(OR(F204="",G204=""),"",ROUND(ABS(F204-G204)*IF(ISNUMBER(SEARCH("JPY",C204)),100,10000),1))</f>
        <v/>
      </c>
      <c r="K204" s="12" t="str">
        <f aca="false">IF(OR(F204="",I204="",E204=""),"",ROUND(IF(E204="Compra",(I204-F204),(F204-I204))*IF(ISNUMBER(SEARCH("JPY",C204)),100,10000),1))</f>
        <v/>
      </c>
      <c r="L204" s="17"/>
      <c r="M204" s="12" t="str">
        <f aca="false">IF(OR(J204="",K204="",J204=0),"",ROUND(K204/J204,2))</f>
        <v/>
      </c>
      <c r="N204" s="18" t="str">
        <f aca="false">IF(L204="","",IF(L204&gt;0,"Ganada",IF(L204&lt;0,"Perdida","Nula")))</f>
        <v/>
      </c>
      <c r="O204" s="15"/>
      <c r="P204" s="14"/>
    </row>
    <row r="206" customFormat="false" ht="15" hidden="false" customHeight="false" outlineLevel="0" collapsed="false">
      <c r="A206" s="20" t="s">
        <v>54</v>
      </c>
    </row>
  </sheetData>
  <conditionalFormatting sqref="N5:N204">
    <cfRule type="cellIs" priority="2" operator="equal" aboveAverage="0" equalAverage="0" bottom="0" percent="0" rank="0" text="" dxfId="0">
      <formula>"Ganada"</formula>
    </cfRule>
    <cfRule type="cellIs" priority="3" operator="equal" aboveAverage="0" equalAverage="0" bottom="0" percent="0" rank="0" text="" dxfId="1">
      <formula>"Perdida"</formula>
    </cfRule>
  </conditionalFormatting>
  <dataValidations count="2">
    <dataValidation allowBlank="true" errorStyle="stop" operator="between" showDropDown="false" showErrorMessage="false" showInputMessage="false" sqref="E5:E204" type="list">
      <formula1>"Compra,Venta"</formula1>
      <formula2>0</formula2>
    </dataValidation>
    <dataValidation allowBlank="true" errorStyle="stop" operator="between" showDropDown="false" showErrorMessage="false" showInputMessage="false" sqref="O5:O204" type="list">
      <formula1>"Excelente,Buena,Dudosa"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2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4" min="4" style="0" width="68"/>
  </cols>
  <sheetData>
    <row r="2" customFormat="false" ht="24.45" hidden="false" customHeight="false" outlineLevel="0" collapsed="false">
      <c r="B2" s="21" t="s">
        <v>55</v>
      </c>
    </row>
    <row r="3" customFormat="false" ht="15" hidden="false" customHeight="false" outlineLevel="0" collapsed="false">
      <c r="B3" s="22" t="s">
        <v>56</v>
      </c>
    </row>
    <row r="4" customFormat="false" ht="24" hidden="false" customHeight="true" outlineLevel="0" collapsed="false">
      <c r="B4" s="23" t="s">
        <v>57</v>
      </c>
      <c r="C4" s="24" t="n">
        <f aca="false">COUNTIF(Operaciones!$N$5:$N$204,"Ganada")+COUNTIF(Operaciones!$N$5:$N$204,"Perdida")</f>
        <v>1</v>
      </c>
      <c r="D4" s="25" t="s">
        <v>58</v>
      </c>
    </row>
    <row r="5" customFormat="false" ht="24" hidden="false" customHeight="true" outlineLevel="0" collapsed="false">
      <c r="B5" s="23" t="s">
        <v>59</v>
      </c>
      <c r="C5" s="24" t="n">
        <f aca="false">COUNTIF(Operaciones!$N$5:$N$204,"Ganada")</f>
        <v>1</v>
      </c>
    </row>
    <row r="6" customFormat="false" ht="24" hidden="false" customHeight="true" outlineLevel="0" collapsed="false">
      <c r="B6" s="23" t="s">
        <v>60</v>
      </c>
      <c r="C6" s="24" t="n">
        <f aca="false">COUNTIF(Operaciones!$N$5:$N$204,"Perdida")</f>
        <v>0</v>
      </c>
    </row>
    <row r="7" customFormat="false" ht="24" hidden="false" customHeight="true" outlineLevel="0" collapsed="false">
      <c r="B7" s="23" t="s">
        <v>61</v>
      </c>
      <c r="C7" s="26" t="n">
        <f aca="false">IFERROR(C5/C4,0)</f>
        <v>1</v>
      </c>
      <c r="D7" s="25" t="s">
        <v>62</v>
      </c>
    </row>
    <row r="8" customFormat="false" ht="24" hidden="false" customHeight="true" outlineLevel="0" collapsed="false"/>
    <row r="9" customFormat="false" ht="24" hidden="false" customHeight="true" outlineLevel="0" collapsed="false">
      <c r="B9" s="23" t="s">
        <v>63</v>
      </c>
      <c r="C9" s="27" t="n">
        <f aca="false">SUMIF(Operaciones!$L$5:$L$204,"&gt;0")</f>
        <v>84</v>
      </c>
    </row>
    <row r="10" customFormat="false" ht="24" hidden="false" customHeight="true" outlineLevel="0" collapsed="false">
      <c r="B10" s="23" t="s">
        <v>64</v>
      </c>
      <c r="C10" s="28" t="n">
        <f aca="false">SUMIF(Operaciones!$L$5:$L$204,"&lt;0")</f>
        <v>0</v>
      </c>
    </row>
    <row r="11" customFormat="false" ht="24" hidden="false" customHeight="true" outlineLevel="0" collapsed="false">
      <c r="B11" s="23" t="s">
        <v>65</v>
      </c>
      <c r="C11" s="28" t="n">
        <f aca="false">SUM(Operaciones!$L$5:$L$204)</f>
        <v>84</v>
      </c>
      <c r="D11" s="25" t="s">
        <v>66</v>
      </c>
    </row>
    <row r="12" customFormat="false" ht="24" hidden="false" customHeight="true" outlineLevel="0" collapsed="false"/>
    <row r="13" customFormat="false" ht="24" hidden="false" customHeight="true" outlineLevel="0" collapsed="false">
      <c r="B13" s="23" t="s">
        <v>67</v>
      </c>
      <c r="C13" s="28" t="n">
        <f aca="false">IFERROR(C11/C4,0)</f>
        <v>84</v>
      </c>
      <c r="D13" s="25" t="s">
        <v>68</v>
      </c>
    </row>
    <row r="14" customFormat="false" ht="24" hidden="false" customHeight="true" outlineLevel="0" collapsed="false">
      <c r="B14" s="23" t="s">
        <v>69</v>
      </c>
      <c r="C14" s="29" t="n">
        <f aca="false">IFERROR(C9/ABS(C10),0)</f>
        <v>0</v>
      </c>
      <c r="D14" s="25" t="s">
        <v>70</v>
      </c>
    </row>
    <row r="15" customFormat="false" ht="24" hidden="false" customHeight="true" outlineLevel="0" collapsed="false">
      <c r="B15" s="23" t="s">
        <v>71</v>
      </c>
      <c r="C15" s="27" t="n">
        <f aca="false">IFERROR(C9/C5,0)</f>
        <v>84</v>
      </c>
    </row>
    <row r="16" customFormat="false" ht="24" hidden="false" customHeight="true" outlineLevel="0" collapsed="false">
      <c r="B16" s="23" t="s">
        <v>72</v>
      </c>
      <c r="C16" s="28" t="n">
        <f aca="false">IFERROR(C10/C6,0)</f>
        <v>0</v>
      </c>
    </row>
    <row r="17" customFormat="false" ht="24" hidden="false" customHeight="true" outlineLevel="0" collapsed="false">
      <c r="B17" s="23" t="s">
        <v>73</v>
      </c>
      <c r="C17" s="29" t="n">
        <f aca="false">IFERROR(AVERAGE(Operaciones!$M$5:$M$204),0)</f>
        <v>1.87</v>
      </c>
      <c r="D17" s="25" t="s">
        <v>74</v>
      </c>
    </row>
    <row r="18" customFormat="false" ht="24" hidden="false" customHeight="true" outlineLevel="0" collapsed="false"/>
    <row r="19" customFormat="false" ht="24" hidden="false" customHeight="true" outlineLevel="0" collapsed="false">
      <c r="B19" s="23" t="s">
        <v>75</v>
      </c>
      <c r="C19" s="27" t="n">
        <f aca="false">IFERROR(MAX(Operaciones!$L$5:$L$204),0)</f>
        <v>84</v>
      </c>
    </row>
    <row r="20" customFormat="false" ht="24" hidden="false" customHeight="true" outlineLevel="0" collapsed="false">
      <c r="B20" s="23" t="s">
        <v>76</v>
      </c>
      <c r="C20" s="28" t="n">
        <f aca="false">IFERROR(MIN(Operaciones!$L$5:$L$204),0)</f>
        <v>84</v>
      </c>
      <c r="D20" s="25" t="s">
        <v>77</v>
      </c>
    </row>
    <row r="23" customFormat="false" ht="16.15" hidden="false" customHeight="false" outlineLevel="0" collapsed="false">
      <c r="B23" s="4" t="s">
        <v>78</v>
      </c>
    </row>
    <row r="24" customFormat="false" ht="27.75" hidden="false" customHeight="true" outlineLevel="0" collapsed="false">
      <c r="B24" s="30" t="s">
        <v>79</v>
      </c>
      <c r="C24" s="30"/>
      <c r="D24" s="30"/>
    </row>
    <row r="25" customFormat="false" ht="27.75" hidden="false" customHeight="true" outlineLevel="0" collapsed="false">
      <c r="B25" s="30" t="s">
        <v>80</v>
      </c>
      <c r="C25" s="30"/>
      <c r="D25" s="30"/>
    </row>
    <row r="26" customFormat="false" ht="27.75" hidden="false" customHeight="true" outlineLevel="0" collapsed="false">
      <c r="B26" s="30" t="s">
        <v>81</v>
      </c>
      <c r="C26" s="30"/>
      <c r="D26" s="30"/>
    </row>
    <row r="29" customFormat="false" ht="15" hidden="false" customHeight="false" outlineLevel="0" collapsed="false">
      <c r="B29" s="3" t="s">
        <v>82</v>
      </c>
    </row>
  </sheetData>
  <mergeCells count="3">
    <mergeCell ref="B24:D24"/>
    <mergeCell ref="B25:D25"/>
    <mergeCell ref="B26:D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2026-07-12T18:07:59Z</dcterms:created>
  <dc:creator>openpyxl</dc:creator>
  <dc:description/>
  <dc:language>en-US</dc:language>
  <cp:lastModifiedBy/>
  <dcterms:modified xsi:type="dcterms:W3CDTF">2026-07-12T18:07:59Z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